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3800" windowHeight="10995"/>
  </bookViews>
  <sheets>
    <sheet name="Fig 7.17  - M3" sheetId="1" r:id="rId1"/>
    <sheet name="Fig. 7.18" sheetId="15" r:id="rId2"/>
    <sheet name="DataSensitivity" sheetId="18" r:id="rId3"/>
  </sheets>
  <calcPr calcId="125725"/>
</workbook>
</file>

<file path=xl/calcChain.xml><?xml version="1.0" encoding="utf-8"?>
<calcChain xmlns="http://schemas.openxmlformats.org/spreadsheetml/2006/main">
  <c r="M88" i="1"/>
  <c r="M94"/>
  <c r="N88"/>
  <c r="N100"/>
  <c r="O88"/>
  <c r="O100"/>
  <c r="P88"/>
  <c r="P94"/>
  <c r="Q88"/>
  <c r="Q94"/>
  <c r="D68"/>
  <c r="E68"/>
  <c r="F68"/>
  <c r="G68"/>
  <c r="H68"/>
  <c r="I68"/>
  <c r="J68"/>
  <c r="K68"/>
  <c r="L68"/>
  <c r="M68"/>
  <c r="N68"/>
  <c r="O68"/>
  <c r="P68"/>
  <c r="Q68"/>
  <c r="C68"/>
  <c r="C72"/>
  <c r="C64"/>
  <c r="C7"/>
  <c r="C87"/>
  <c r="C8"/>
  <c r="C78"/>
  <c r="C56"/>
  <c r="C59"/>
  <c r="D59"/>
  <c r="C60"/>
  <c r="D60"/>
  <c r="E60"/>
  <c r="F60"/>
  <c r="G60"/>
  <c r="H60"/>
  <c r="I60"/>
  <c r="J60"/>
  <c r="K60"/>
  <c r="L60"/>
  <c r="M60"/>
  <c r="N60"/>
  <c r="O60"/>
  <c r="P60"/>
  <c r="Q60"/>
  <c r="C61"/>
  <c r="D61"/>
  <c r="E61"/>
  <c r="F61"/>
  <c r="G61"/>
  <c r="H61"/>
  <c r="I61"/>
  <c r="J61"/>
  <c r="K61"/>
  <c r="L61"/>
  <c r="M61"/>
  <c r="N61"/>
  <c r="O61"/>
  <c r="P61"/>
  <c r="Q61"/>
  <c r="C46"/>
  <c r="K16"/>
  <c r="K17"/>
  <c r="C67"/>
  <c r="D101"/>
  <c r="E101"/>
  <c r="F101"/>
  <c r="G101"/>
  <c r="H101"/>
  <c r="I101"/>
  <c r="J101"/>
  <c r="K101"/>
  <c r="L101"/>
  <c r="M101"/>
  <c r="N101"/>
  <c r="O101"/>
  <c r="P101"/>
  <c r="Q101"/>
  <c r="C62"/>
  <c r="D56"/>
  <c r="E56"/>
  <c r="C70"/>
  <c r="C76"/>
  <c r="F56"/>
  <c r="D62"/>
  <c r="E59"/>
  <c r="C82"/>
  <c r="E62"/>
  <c r="F59"/>
  <c r="G56"/>
  <c r="H56"/>
  <c r="F62"/>
  <c r="G59"/>
  <c r="G62"/>
  <c r="H59"/>
  <c r="I56"/>
  <c r="J56"/>
  <c r="I59"/>
  <c r="H62"/>
  <c r="I62"/>
  <c r="J59"/>
  <c r="K56"/>
  <c r="L56"/>
  <c r="K59"/>
  <c r="J62"/>
  <c r="K62"/>
  <c r="L59"/>
  <c r="M56"/>
  <c r="N56"/>
  <c r="M59"/>
  <c r="L62"/>
  <c r="N59"/>
  <c r="M62"/>
  <c r="O56"/>
  <c r="N62"/>
  <c r="O59"/>
  <c r="N94"/>
  <c r="P56"/>
  <c r="O94"/>
  <c r="Q56"/>
  <c r="O62"/>
  <c r="P59"/>
  <c r="Q59"/>
  <c r="Q62"/>
  <c r="P62"/>
  <c r="P100"/>
  <c r="Q100"/>
  <c r="M100"/>
  <c r="C83"/>
  <c r="C84"/>
  <c r="C92"/>
  <c r="C28"/>
  <c r="L64"/>
  <c r="L66"/>
  <c r="C77"/>
  <c r="C79"/>
  <c r="C91"/>
  <c r="C93"/>
  <c r="Q64"/>
  <c r="Q66"/>
  <c r="C66"/>
  <c r="D64"/>
  <c r="D66"/>
  <c r="D67"/>
  <c r="D70"/>
  <c r="O64"/>
  <c r="O66"/>
  <c r="N64"/>
  <c r="N66"/>
  <c r="K64"/>
  <c r="K66"/>
  <c r="K67"/>
  <c r="K70"/>
  <c r="J64"/>
  <c r="J66"/>
  <c r="H64"/>
  <c r="H66"/>
  <c r="M64"/>
  <c r="M66"/>
  <c r="M67"/>
  <c r="M70"/>
  <c r="P64"/>
  <c r="P66"/>
  <c r="Q67"/>
  <c r="Q70"/>
  <c r="I64"/>
  <c r="I66"/>
  <c r="I67"/>
  <c r="I70"/>
  <c r="E64"/>
  <c r="F64"/>
  <c r="E66"/>
  <c r="E67"/>
  <c r="E70"/>
  <c r="F66"/>
  <c r="G64"/>
  <c r="G66"/>
  <c r="G67"/>
  <c r="G70"/>
  <c r="F67"/>
  <c r="F70"/>
  <c r="G82"/>
  <c r="G76"/>
  <c r="G77"/>
  <c r="G83"/>
  <c r="E83"/>
  <c r="E82"/>
  <c r="E84"/>
  <c r="E92"/>
  <c r="E77"/>
  <c r="E76"/>
  <c r="I76"/>
  <c r="I83"/>
  <c r="I82"/>
  <c r="I77"/>
  <c r="K77"/>
  <c r="K76"/>
  <c r="K83"/>
  <c r="K82"/>
  <c r="K84"/>
  <c r="K92"/>
  <c r="O67"/>
  <c r="O70"/>
  <c r="P67"/>
  <c r="P70"/>
  <c r="F83"/>
  <c r="F76"/>
  <c r="F77"/>
  <c r="F82"/>
  <c r="F84"/>
  <c r="F92"/>
  <c r="Q82"/>
  <c r="Q77"/>
  <c r="Q76"/>
  <c r="Q83"/>
  <c r="M82"/>
  <c r="M76"/>
  <c r="M77"/>
  <c r="M83"/>
  <c r="D83"/>
  <c r="D77"/>
  <c r="D82"/>
  <c r="D84"/>
  <c r="D92"/>
  <c r="D76"/>
  <c r="D71"/>
  <c r="E88"/>
  <c r="L88"/>
  <c r="H88"/>
  <c r="D88"/>
  <c r="K88"/>
  <c r="G88"/>
  <c r="C88"/>
  <c r="J88"/>
  <c r="F88"/>
  <c r="C101"/>
  <c r="I88"/>
  <c r="H67"/>
  <c r="H70"/>
  <c r="J67"/>
  <c r="J70"/>
  <c r="N67"/>
  <c r="N70"/>
  <c r="L67"/>
  <c r="L70"/>
  <c r="J82"/>
  <c r="J77"/>
  <c r="J76"/>
  <c r="J83"/>
  <c r="I94"/>
  <c r="I100"/>
  <c r="C94"/>
  <c r="C100"/>
  <c r="K94"/>
  <c r="K100"/>
  <c r="H94"/>
  <c r="H100"/>
  <c r="P83"/>
  <c r="P77"/>
  <c r="P76"/>
  <c r="P82"/>
  <c r="P84"/>
  <c r="P92"/>
  <c r="N76"/>
  <c r="N83"/>
  <c r="N82"/>
  <c r="N77"/>
  <c r="H83"/>
  <c r="H77"/>
  <c r="H76"/>
  <c r="H82"/>
  <c r="H84"/>
  <c r="H92"/>
  <c r="J94"/>
  <c r="J100"/>
  <c r="G100"/>
  <c r="G94"/>
  <c r="D100"/>
  <c r="D94"/>
  <c r="L94"/>
  <c r="L100"/>
  <c r="D72"/>
  <c r="D78"/>
  <c r="E71"/>
  <c r="O76"/>
  <c r="O82"/>
  <c r="O77"/>
  <c r="O83"/>
  <c r="D79"/>
  <c r="D91"/>
  <c r="D93"/>
  <c r="M84"/>
  <c r="M92"/>
  <c r="Q84"/>
  <c r="Q92"/>
  <c r="I84"/>
  <c r="I92"/>
  <c r="G84"/>
  <c r="G92"/>
  <c r="L76"/>
  <c r="L77"/>
  <c r="L83"/>
  <c r="L82"/>
  <c r="F100"/>
  <c r="F94"/>
  <c r="E100"/>
  <c r="E94"/>
  <c r="E72"/>
  <c r="E78"/>
  <c r="E79"/>
  <c r="E91"/>
  <c r="E93"/>
  <c r="F71"/>
  <c r="D95"/>
  <c r="D96"/>
  <c r="D99"/>
  <c r="D102"/>
  <c r="C95"/>
  <c r="C96"/>
  <c r="C99"/>
  <c r="C102"/>
  <c r="O84"/>
  <c r="O92"/>
  <c r="L84"/>
  <c r="L92"/>
  <c r="N84"/>
  <c r="N92"/>
  <c r="J84"/>
  <c r="J92"/>
  <c r="F72"/>
  <c r="F78"/>
  <c r="F79"/>
  <c r="F91"/>
  <c r="F93"/>
  <c r="G71"/>
  <c r="E95"/>
  <c r="E96"/>
  <c r="E99"/>
  <c r="E102"/>
  <c r="H71"/>
  <c r="G72"/>
  <c r="G78"/>
  <c r="G79"/>
  <c r="G91"/>
  <c r="G93"/>
  <c r="F96"/>
  <c r="F99"/>
  <c r="F102"/>
  <c r="F95"/>
  <c r="I71"/>
  <c r="H72"/>
  <c r="H78"/>
  <c r="H79"/>
  <c r="H91"/>
  <c r="H93"/>
  <c r="G96"/>
  <c r="G99"/>
  <c r="G102"/>
  <c r="G95"/>
  <c r="H95"/>
  <c r="H96"/>
  <c r="H99"/>
  <c r="H102"/>
  <c r="I72"/>
  <c r="I78"/>
  <c r="I79"/>
  <c r="I91"/>
  <c r="I93"/>
  <c r="J71"/>
  <c r="K71"/>
  <c r="J72"/>
  <c r="J78"/>
  <c r="J79"/>
  <c r="J91"/>
  <c r="J93"/>
  <c r="I95"/>
  <c r="I96"/>
  <c r="I99"/>
  <c r="I102"/>
  <c r="J95"/>
  <c r="J96"/>
  <c r="J99"/>
  <c r="J102"/>
  <c r="K72"/>
  <c r="K78"/>
  <c r="K79"/>
  <c r="K91"/>
  <c r="K93"/>
  <c r="L71"/>
  <c r="L72"/>
  <c r="L78"/>
  <c r="L79"/>
  <c r="L91"/>
  <c r="L93"/>
  <c r="M71"/>
  <c r="K95"/>
  <c r="K96"/>
  <c r="K99"/>
  <c r="K102"/>
  <c r="N71"/>
  <c r="M72"/>
  <c r="M78"/>
  <c r="M79"/>
  <c r="M91"/>
  <c r="M93"/>
  <c r="L95"/>
  <c r="L96"/>
  <c r="L99"/>
  <c r="L102"/>
  <c r="M95"/>
  <c r="M96"/>
  <c r="M99"/>
  <c r="M102"/>
  <c r="N72"/>
  <c r="N78"/>
  <c r="N79"/>
  <c r="N91"/>
  <c r="N93"/>
  <c r="O71"/>
  <c r="P71"/>
  <c r="O72"/>
  <c r="O78"/>
  <c r="O79"/>
  <c r="O91"/>
  <c r="O93"/>
  <c r="N95"/>
  <c r="N96"/>
  <c r="N99"/>
  <c r="N102"/>
  <c r="O95"/>
  <c r="O96"/>
  <c r="O99"/>
  <c r="O102"/>
  <c r="Q71"/>
  <c r="Q72"/>
  <c r="Q78"/>
  <c r="Q79"/>
  <c r="Q91"/>
  <c r="Q93"/>
  <c r="P72"/>
  <c r="P78"/>
  <c r="P79"/>
  <c r="P91"/>
  <c r="P93"/>
  <c r="P95"/>
  <c r="P96"/>
  <c r="P99"/>
  <c r="P102"/>
  <c r="Q95"/>
  <c r="Q96"/>
  <c r="Q99"/>
  <c r="Q102"/>
  <c r="B104"/>
  <c r="F13"/>
  <c r="K15"/>
  <c r="K14"/>
</calcChain>
</file>

<file path=xl/sharedStrings.xml><?xml version="1.0" encoding="utf-8"?>
<sst xmlns="http://schemas.openxmlformats.org/spreadsheetml/2006/main" count="101" uniqueCount="86">
  <si>
    <t>MediDevice</t>
  </si>
  <si>
    <t xml:space="preserve">Licensing (0/1)? </t>
  </si>
  <si>
    <t>Parameters</t>
  </si>
  <si>
    <t>Revenue</t>
  </si>
  <si>
    <t xml:space="preserve">Operating Cost </t>
  </si>
  <si>
    <t>Capital Expenditure</t>
  </si>
  <si>
    <t>Income Statement</t>
  </si>
  <si>
    <t>Cash Flow</t>
  </si>
  <si>
    <t>Cost</t>
  </si>
  <si>
    <t>EBITDA</t>
  </si>
  <si>
    <t>Taxes</t>
  </si>
  <si>
    <t>NIAT</t>
  </si>
  <si>
    <t>Depreciation</t>
  </si>
  <si>
    <t>CAPX</t>
  </si>
  <si>
    <t>Manufacturing plant cost</t>
  </si>
  <si>
    <t>Total cost</t>
  </si>
  <si>
    <t>COGS</t>
  </si>
  <si>
    <t>Sales force cost</t>
  </si>
  <si>
    <t>Cash flow</t>
  </si>
  <si>
    <t xml:space="preserve">   US</t>
  </si>
  <si>
    <t xml:space="preserve">   Europe</t>
  </si>
  <si>
    <t xml:space="preserve">   Japan</t>
  </si>
  <si>
    <t>Total</t>
  </si>
  <si>
    <t>Number of doctor's offices</t>
  </si>
  <si>
    <t>Potential users - total</t>
  </si>
  <si>
    <t>Potential users - new</t>
  </si>
  <si>
    <t>Market penetration</t>
  </si>
  <si>
    <t xml:space="preserve">   launch year</t>
  </si>
  <si>
    <t>First year</t>
  </si>
  <si>
    <t xml:space="preserve">   entry year</t>
  </si>
  <si>
    <t>MediDevice share</t>
  </si>
  <si>
    <t>Unit sales</t>
  </si>
  <si>
    <t>Cumulative unit sales</t>
  </si>
  <si>
    <t>Prices</t>
  </si>
  <si>
    <t xml:space="preserve">   device</t>
  </si>
  <si>
    <t xml:space="preserve">   materials</t>
  </si>
  <si>
    <t>MediDevice installed base</t>
  </si>
  <si>
    <t>Revenues</t>
  </si>
  <si>
    <t xml:space="preserve">   new devices</t>
  </si>
  <si>
    <t>Costs</t>
  </si>
  <si>
    <t xml:space="preserve">   unit manufacturing</t>
  </si>
  <si>
    <t xml:space="preserve">   sales force</t>
  </si>
  <si>
    <t>Tax rate</t>
  </si>
  <si>
    <t>Discount rate</t>
  </si>
  <si>
    <t>NPV</t>
  </si>
  <si>
    <t xml:space="preserve">   peak year - base</t>
  </si>
  <si>
    <t xml:space="preserve">      direct sales</t>
  </si>
  <si>
    <t xml:space="preserve">      licensing</t>
  </si>
  <si>
    <t xml:space="preserve">   licensing benefit</t>
  </si>
  <si>
    <t xml:space="preserve">   licensing fee</t>
  </si>
  <si>
    <t xml:space="preserve">   peak year - actual</t>
  </si>
  <si>
    <t xml:space="preserve">   US plant cost</t>
  </si>
  <si>
    <t xml:space="preserve">   ROW plant cost</t>
  </si>
  <si>
    <t xml:space="preserve">   depreciation  lifetime</t>
  </si>
  <si>
    <t>Third generation</t>
  </si>
  <si>
    <t>Second generation</t>
  </si>
  <si>
    <t xml:space="preserve">   share of installed base captured</t>
  </si>
  <si>
    <t>Benchmarks</t>
  </si>
  <si>
    <t>% changes</t>
  </si>
  <si>
    <t>Strategies</t>
  </si>
  <si>
    <t>Strategy Table</t>
  </si>
  <si>
    <t>Number</t>
  </si>
  <si>
    <t>Licensing</t>
  </si>
  <si>
    <t>Ramp up</t>
  </si>
  <si>
    <t>Ramp up (0/1)?</t>
  </si>
  <si>
    <t xml:space="preserve">      min IB</t>
  </si>
  <si>
    <t xml:space="preserve">      max IB</t>
  </si>
  <si>
    <t xml:space="preserve">      min royalty</t>
  </si>
  <si>
    <t xml:space="preserve">      max royalty</t>
  </si>
  <si>
    <t xml:space="preserve">      slope</t>
  </si>
  <si>
    <t xml:space="preserve">      base</t>
  </si>
  <si>
    <t>M3 - B Case</t>
  </si>
  <si>
    <t xml:space="preserve">   initial level</t>
  </si>
  <si>
    <t xml:space="preserve">   peak level</t>
  </si>
  <si>
    <t>Direct</t>
  </si>
  <si>
    <t>License</t>
  </si>
  <si>
    <t>Sales Method</t>
  </si>
  <si>
    <t>Fixed</t>
  </si>
  <si>
    <t>Sliding</t>
  </si>
  <si>
    <t>Royalty
 Plan</t>
  </si>
  <si>
    <t>NPV:    peak level by Strategies</t>
  </si>
  <si>
    <t>Direct/Flat</t>
  </si>
  <si>
    <t>Direct/Slide</t>
  </si>
  <si>
    <t>Peak Penetration Level</t>
  </si>
  <si>
    <t>License/Flat</t>
  </si>
  <si>
    <t>License/Slide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</si>
</sst>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4">
    <font>
      <sz val="12"/>
      <name val="Times New Roman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0" fillId="0" borderId="0" xfId="0" quotePrefix="1" applyAlignment="1">
      <alignment horizontal="left"/>
    </xf>
    <xf numFmtId="9" fontId="0" fillId="0" borderId="0" xfId="0" applyNumberFormat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166" fontId="0" fillId="0" borderId="0" xfId="0" applyNumberFormat="1"/>
    <xf numFmtId="166" fontId="1" fillId="0" borderId="0" xfId="0" applyNumberFormat="1" applyFont="1"/>
    <xf numFmtId="0" fontId="1" fillId="0" borderId="1" xfId="0" applyFont="1" applyBorder="1"/>
    <xf numFmtId="166" fontId="0" fillId="0" borderId="2" xfId="0" applyNumberFormat="1" applyBorder="1"/>
    <xf numFmtId="0" fontId="1" fillId="0" borderId="0" xfId="0" quotePrefix="1" applyFont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0" fontId="3" fillId="0" borderId="11" xfId="0" applyFont="1" applyBorder="1"/>
    <xf numFmtId="0" fontId="3" fillId="0" borderId="12" xfId="0" applyFont="1" applyBorder="1"/>
    <xf numFmtId="0" fontId="0" fillId="0" borderId="13" xfId="0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NumberFormat="1" applyFont="1"/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tx>
            <c:strRef>
              <c:f>DataSensitivity!$B$4</c:f>
              <c:strCache>
                <c:ptCount val="1"/>
                <c:pt idx="0">
                  <c:v>Direct/Flat</c:v>
                </c:pt>
              </c:strCache>
            </c:strRef>
          </c:tx>
          <c:xVal>
            <c:numRef>
              <c:f>DataSensitivity!$A$5:$A$20</c:f>
              <c:numCache>
                <c:formatCode>0%</c:formatCode>
                <c:ptCount val="16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9.9999999999999992E-2</c:v>
                </c:pt>
                <c:pt idx="6">
                  <c:v>0.10999999999999999</c:v>
                </c:pt>
                <c:pt idx="7">
                  <c:v>0.11999999999999998</c:v>
                </c:pt>
                <c:pt idx="8">
                  <c:v>0.12999999999999998</c:v>
                </c:pt>
                <c:pt idx="9">
                  <c:v>0.13999999999999999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0.18000000000000002</c:v>
                </c:pt>
                <c:pt idx="14">
                  <c:v>0.19000000000000003</c:v>
                </c:pt>
                <c:pt idx="15">
                  <c:v>0.2</c:v>
                </c:pt>
              </c:numCache>
            </c:numRef>
          </c:xVal>
          <c:yVal>
            <c:numRef>
              <c:f>DataSensitivity!$B$5:$B$20</c:f>
              <c:numCache>
                <c:formatCode>#,##0</c:formatCode>
                <c:ptCount val="16"/>
                <c:pt idx="0">
                  <c:v>75.136136290141266</c:v>
                </c:pt>
                <c:pt idx="1">
                  <c:v>98.998611333486039</c:v>
                </c:pt>
                <c:pt idx="2">
                  <c:v>122.86108637683088</c:v>
                </c:pt>
                <c:pt idx="3">
                  <c:v>146.72356142017566</c:v>
                </c:pt>
                <c:pt idx="4">
                  <c:v>170.58603646352046</c:v>
                </c:pt>
                <c:pt idx="5">
                  <c:v>194.44851150686517</c:v>
                </c:pt>
                <c:pt idx="6">
                  <c:v>218.31098655020998</c:v>
                </c:pt>
                <c:pt idx="7">
                  <c:v>242.1734615935548</c:v>
                </c:pt>
                <c:pt idx="8">
                  <c:v>266.03593663689969</c:v>
                </c:pt>
                <c:pt idx="9">
                  <c:v>289.89841168024446</c:v>
                </c:pt>
                <c:pt idx="10">
                  <c:v>313.76088672358924</c:v>
                </c:pt>
                <c:pt idx="11">
                  <c:v>337.62336176693401</c:v>
                </c:pt>
                <c:pt idx="12">
                  <c:v>361.48583681027884</c:v>
                </c:pt>
                <c:pt idx="13">
                  <c:v>385.34831185362373</c:v>
                </c:pt>
                <c:pt idx="14">
                  <c:v>409.21078689696844</c:v>
                </c:pt>
                <c:pt idx="15">
                  <c:v>433.07326194031322</c:v>
                </c:pt>
              </c:numCache>
            </c:numRef>
          </c:yVal>
        </c:ser>
        <c:ser>
          <c:idx val="1"/>
          <c:order val="1"/>
          <c:tx>
            <c:strRef>
              <c:f>DataSensitivity!$C$4</c:f>
              <c:strCache>
                <c:ptCount val="1"/>
                <c:pt idx="0">
                  <c:v>Direct/Slide</c:v>
                </c:pt>
              </c:strCache>
            </c:strRef>
          </c:tx>
          <c:xVal>
            <c:numRef>
              <c:f>DataSensitivity!$A$5:$A$20</c:f>
              <c:numCache>
                <c:formatCode>0%</c:formatCode>
                <c:ptCount val="16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9.9999999999999992E-2</c:v>
                </c:pt>
                <c:pt idx="6">
                  <c:v>0.10999999999999999</c:v>
                </c:pt>
                <c:pt idx="7">
                  <c:v>0.11999999999999998</c:v>
                </c:pt>
                <c:pt idx="8">
                  <c:v>0.12999999999999998</c:v>
                </c:pt>
                <c:pt idx="9">
                  <c:v>0.13999999999999999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0.18000000000000002</c:v>
                </c:pt>
                <c:pt idx="14">
                  <c:v>0.19000000000000003</c:v>
                </c:pt>
                <c:pt idx="15">
                  <c:v>0.2</c:v>
                </c:pt>
              </c:numCache>
            </c:numRef>
          </c:xVal>
          <c:yVal>
            <c:numRef>
              <c:f>DataSensitivity!$C$5:$C$20</c:f>
              <c:numCache>
                <c:formatCode>#,##0</c:formatCode>
                <c:ptCount val="16"/>
                <c:pt idx="0">
                  <c:v>54.382842796066043</c:v>
                </c:pt>
                <c:pt idx="1">
                  <c:v>74.094659140595809</c:v>
                </c:pt>
                <c:pt idx="2">
                  <c:v>93.806475485125574</c:v>
                </c:pt>
                <c:pt idx="3">
                  <c:v>113.51829182965531</c:v>
                </c:pt>
                <c:pt idx="4">
                  <c:v>135.64425027823904</c:v>
                </c:pt>
                <c:pt idx="5">
                  <c:v>159.64787480775362</c:v>
                </c:pt>
                <c:pt idx="6">
                  <c:v>184.45621337195291</c:v>
                </c:pt>
                <c:pt idx="7">
                  <c:v>212.72482228529628</c:v>
                </c:pt>
                <c:pt idx="8">
                  <c:v>242.60034453665054</c:v>
                </c:pt>
                <c:pt idx="9">
                  <c:v>273.77849763165074</c:v>
                </c:pt>
                <c:pt idx="10">
                  <c:v>306.25928157029659</c:v>
                </c:pt>
                <c:pt idx="11">
                  <c:v>340.04269635258828</c:v>
                </c:pt>
                <c:pt idx="12">
                  <c:v>373.53842586748021</c:v>
                </c:pt>
                <c:pt idx="13">
                  <c:v>404.78196197779846</c:v>
                </c:pt>
                <c:pt idx="14">
                  <c:v>436.76684089257003</c:v>
                </c:pt>
                <c:pt idx="15">
                  <c:v>469.49306261179453</c:v>
                </c:pt>
              </c:numCache>
            </c:numRef>
          </c:yVal>
        </c:ser>
        <c:ser>
          <c:idx val="2"/>
          <c:order val="2"/>
          <c:tx>
            <c:strRef>
              <c:f>DataSensitivity!$D$4</c:f>
              <c:strCache>
                <c:ptCount val="1"/>
                <c:pt idx="0">
                  <c:v>License/Flat</c:v>
                </c:pt>
              </c:strCache>
            </c:strRef>
          </c:tx>
          <c:xVal>
            <c:numRef>
              <c:f>DataSensitivity!$A$5:$A$20</c:f>
              <c:numCache>
                <c:formatCode>0%</c:formatCode>
                <c:ptCount val="16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9.9999999999999992E-2</c:v>
                </c:pt>
                <c:pt idx="6">
                  <c:v>0.10999999999999999</c:v>
                </c:pt>
                <c:pt idx="7">
                  <c:v>0.11999999999999998</c:v>
                </c:pt>
                <c:pt idx="8">
                  <c:v>0.12999999999999998</c:v>
                </c:pt>
                <c:pt idx="9">
                  <c:v>0.13999999999999999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0.18000000000000002</c:v>
                </c:pt>
                <c:pt idx="14">
                  <c:v>0.19000000000000003</c:v>
                </c:pt>
                <c:pt idx="15">
                  <c:v>0.2</c:v>
                </c:pt>
              </c:numCache>
            </c:numRef>
          </c:xVal>
          <c:yVal>
            <c:numRef>
              <c:f>DataSensitivity!$D$5:$D$20</c:f>
              <c:numCache>
                <c:formatCode>#,##0</c:formatCode>
                <c:ptCount val="16"/>
                <c:pt idx="0">
                  <c:v>89.415753229616413</c:v>
                </c:pt>
                <c:pt idx="1">
                  <c:v>113.86565530168066</c:v>
                </c:pt>
                <c:pt idx="2">
                  <c:v>138.31555737374492</c:v>
                </c:pt>
                <c:pt idx="3">
                  <c:v>162.76545944580914</c:v>
                </c:pt>
                <c:pt idx="4">
                  <c:v>187.21536151787336</c:v>
                </c:pt>
                <c:pt idx="5">
                  <c:v>211.66526358993758</c:v>
                </c:pt>
                <c:pt idx="6">
                  <c:v>236.1151656620018</c:v>
                </c:pt>
                <c:pt idx="7">
                  <c:v>260.56506773406596</c:v>
                </c:pt>
                <c:pt idx="8">
                  <c:v>285.01496980613024</c:v>
                </c:pt>
                <c:pt idx="9">
                  <c:v>309.46487187819451</c:v>
                </c:pt>
                <c:pt idx="10">
                  <c:v>333.91477395025885</c:v>
                </c:pt>
                <c:pt idx="11">
                  <c:v>358.36467602232312</c:v>
                </c:pt>
                <c:pt idx="12">
                  <c:v>382.81457809438717</c:v>
                </c:pt>
                <c:pt idx="13">
                  <c:v>407.26448016645151</c:v>
                </c:pt>
                <c:pt idx="14">
                  <c:v>431.71438223851578</c:v>
                </c:pt>
                <c:pt idx="15">
                  <c:v>456.16428431057994</c:v>
                </c:pt>
              </c:numCache>
            </c:numRef>
          </c:yVal>
        </c:ser>
        <c:ser>
          <c:idx val="3"/>
          <c:order val="3"/>
          <c:tx>
            <c:strRef>
              <c:f>DataSensitivity!$E$4</c:f>
              <c:strCache>
                <c:ptCount val="1"/>
                <c:pt idx="0">
                  <c:v>License/Slide</c:v>
                </c:pt>
              </c:strCache>
            </c:strRef>
          </c:tx>
          <c:xVal>
            <c:numRef>
              <c:f>DataSensitivity!$A$5:$A$20</c:f>
              <c:numCache>
                <c:formatCode>0%</c:formatCode>
                <c:ptCount val="16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9.9999999999999992E-2</c:v>
                </c:pt>
                <c:pt idx="6">
                  <c:v>0.10999999999999999</c:v>
                </c:pt>
                <c:pt idx="7">
                  <c:v>0.11999999999999998</c:v>
                </c:pt>
                <c:pt idx="8">
                  <c:v>0.12999999999999998</c:v>
                </c:pt>
                <c:pt idx="9">
                  <c:v>0.13999999999999999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0.18000000000000002</c:v>
                </c:pt>
                <c:pt idx="14">
                  <c:v>0.19000000000000003</c:v>
                </c:pt>
                <c:pt idx="15">
                  <c:v>0.2</c:v>
                </c:pt>
              </c:numCache>
            </c:numRef>
          </c:xVal>
          <c:yVal>
            <c:numRef>
              <c:f>DataSensitivity!$E$5:$E$20</c:f>
              <c:numCache>
                <c:formatCode>#,##0</c:formatCode>
                <c:ptCount val="16"/>
                <c:pt idx="0">
                  <c:v>55.009490949220506</c:v>
                </c:pt>
                <c:pt idx="1">
                  <c:v>92.520362594252262</c:v>
                </c:pt>
                <c:pt idx="2">
                  <c:v>140.83425390386236</c:v>
                </c:pt>
                <c:pt idx="3">
                  <c:v>199.04279523116867</c:v>
                </c:pt>
                <c:pt idx="4">
                  <c:v>247.75359211727294</c:v>
                </c:pt>
                <c:pt idx="5">
                  <c:v>287.44145937239097</c:v>
                </c:pt>
                <c:pt idx="6">
                  <c:v>328.83162565079971</c:v>
                </c:pt>
                <c:pt idx="7">
                  <c:v>371.92409095249917</c:v>
                </c:pt>
                <c:pt idx="8">
                  <c:v>413.55046910168181</c:v>
                </c:pt>
                <c:pt idx="9">
                  <c:v>451.16464289323875</c:v>
                </c:pt>
                <c:pt idx="10">
                  <c:v>495.98195101383584</c:v>
                </c:pt>
                <c:pt idx="11">
                  <c:v>542.20586489756511</c:v>
                </c:pt>
                <c:pt idx="12">
                  <c:v>589.8009704488893</c:v>
                </c:pt>
                <c:pt idx="13">
                  <c:v>638.76726766780837</c:v>
                </c:pt>
                <c:pt idx="14">
                  <c:v>689.10475655432231</c:v>
                </c:pt>
                <c:pt idx="15">
                  <c:v>740.81343710843123</c:v>
                </c:pt>
              </c:numCache>
            </c:numRef>
          </c:yVal>
        </c:ser>
        <c:axId val="304726400"/>
        <c:axId val="304807936"/>
      </c:scatterChart>
      <c:valAx>
        <c:axId val="304726400"/>
        <c:scaling>
          <c:orientation val="minMax"/>
          <c:max val="0.2"/>
          <c:min val="0.0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  peak level</a:t>
                </a:r>
                <a:endParaRPr/>
              </a:p>
            </c:rich>
          </c:tx>
        </c:title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807936"/>
        <c:crosses val="autoZero"/>
        <c:crossBetween val="midCat"/>
      </c:valAx>
      <c:valAx>
        <c:axId val="3048079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NPV</a:t>
                </a:r>
                <a:endParaRPr/>
              </a:p>
            </c:rich>
          </c:tx>
        </c:title>
        <c:numFmt formatCode="#,##0" sourceLinked="1"/>
        <c:tickLblPos val="nextTo"/>
        <c:crossAx val="304726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807870370370368"/>
          <c:y val="8.0250302045577662E-2"/>
          <c:w val="0.18225703557888598"/>
          <c:h val="0.3061657292838395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2"/>
          <c:order val="0"/>
          <c:tx>
            <c:strRef>
              <c:f>DataSensitivity!$D$4</c:f>
              <c:strCache>
                <c:ptCount val="1"/>
                <c:pt idx="0">
                  <c:v>License/Flat</c:v>
                </c:pt>
              </c:strCache>
            </c:strRef>
          </c:tx>
          <c:xVal>
            <c:numRef>
              <c:f>DataSensitivity!$A$5:$A$20</c:f>
              <c:numCache>
                <c:formatCode>0%</c:formatCode>
                <c:ptCount val="16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9.9999999999999992E-2</c:v>
                </c:pt>
                <c:pt idx="6">
                  <c:v>0.10999999999999999</c:v>
                </c:pt>
                <c:pt idx="7">
                  <c:v>0.11999999999999998</c:v>
                </c:pt>
                <c:pt idx="8">
                  <c:v>0.12999999999999998</c:v>
                </c:pt>
                <c:pt idx="9">
                  <c:v>0.13999999999999999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0.18000000000000002</c:v>
                </c:pt>
                <c:pt idx="14">
                  <c:v>0.19000000000000003</c:v>
                </c:pt>
                <c:pt idx="15">
                  <c:v>0.2</c:v>
                </c:pt>
              </c:numCache>
            </c:numRef>
          </c:xVal>
          <c:yVal>
            <c:numRef>
              <c:f>DataSensitivity!$D$5:$D$20</c:f>
              <c:numCache>
                <c:formatCode>#,##0</c:formatCode>
                <c:ptCount val="16"/>
                <c:pt idx="0">
                  <c:v>89.415753229616413</c:v>
                </c:pt>
                <c:pt idx="1">
                  <c:v>113.86565530168066</c:v>
                </c:pt>
                <c:pt idx="2">
                  <c:v>138.31555737374492</c:v>
                </c:pt>
                <c:pt idx="3">
                  <c:v>162.76545944580914</c:v>
                </c:pt>
                <c:pt idx="4">
                  <c:v>187.21536151787336</c:v>
                </c:pt>
                <c:pt idx="5">
                  <c:v>211.66526358993758</c:v>
                </c:pt>
                <c:pt idx="6">
                  <c:v>236.1151656620018</c:v>
                </c:pt>
                <c:pt idx="7">
                  <c:v>260.56506773406596</c:v>
                </c:pt>
                <c:pt idx="8">
                  <c:v>285.01496980613024</c:v>
                </c:pt>
                <c:pt idx="9">
                  <c:v>309.46487187819451</c:v>
                </c:pt>
                <c:pt idx="10">
                  <c:v>333.91477395025885</c:v>
                </c:pt>
                <c:pt idx="11">
                  <c:v>358.36467602232312</c:v>
                </c:pt>
                <c:pt idx="12">
                  <c:v>382.81457809438717</c:v>
                </c:pt>
                <c:pt idx="13">
                  <c:v>407.26448016645151</c:v>
                </c:pt>
                <c:pt idx="14">
                  <c:v>431.71438223851578</c:v>
                </c:pt>
                <c:pt idx="15">
                  <c:v>456.16428431057994</c:v>
                </c:pt>
              </c:numCache>
            </c:numRef>
          </c:yVal>
        </c:ser>
        <c:ser>
          <c:idx val="3"/>
          <c:order val="1"/>
          <c:tx>
            <c:strRef>
              <c:f>DataSensitivity!$E$4</c:f>
              <c:strCache>
                <c:ptCount val="1"/>
                <c:pt idx="0">
                  <c:v>License/Slide</c:v>
                </c:pt>
              </c:strCache>
            </c:strRef>
          </c:tx>
          <c:xVal>
            <c:numRef>
              <c:f>DataSensitivity!$A$5:$A$20</c:f>
              <c:numCache>
                <c:formatCode>0%</c:formatCode>
                <c:ptCount val="16"/>
                <c:pt idx="0">
                  <c:v>0.05</c:v>
                </c:pt>
                <c:pt idx="1">
                  <c:v>6.0000000000000005E-2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9.9999999999999992E-2</c:v>
                </c:pt>
                <c:pt idx="6">
                  <c:v>0.10999999999999999</c:v>
                </c:pt>
                <c:pt idx="7">
                  <c:v>0.11999999999999998</c:v>
                </c:pt>
                <c:pt idx="8">
                  <c:v>0.12999999999999998</c:v>
                </c:pt>
                <c:pt idx="9">
                  <c:v>0.13999999999999999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0.18000000000000002</c:v>
                </c:pt>
                <c:pt idx="14">
                  <c:v>0.19000000000000003</c:v>
                </c:pt>
                <c:pt idx="15">
                  <c:v>0.2</c:v>
                </c:pt>
              </c:numCache>
            </c:numRef>
          </c:xVal>
          <c:yVal>
            <c:numRef>
              <c:f>DataSensitivity!$E$5:$E$20</c:f>
              <c:numCache>
                <c:formatCode>#,##0</c:formatCode>
                <c:ptCount val="16"/>
                <c:pt idx="0">
                  <c:v>55.009490949220506</c:v>
                </c:pt>
                <c:pt idx="1">
                  <c:v>92.520362594252262</c:v>
                </c:pt>
                <c:pt idx="2">
                  <c:v>140.83425390386236</c:v>
                </c:pt>
                <c:pt idx="3">
                  <c:v>199.04279523116867</c:v>
                </c:pt>
                <c:pt idx="4">
                  <c:v>247.75359211727294</c:v>
                </c:pt>
                <c:pt idx="5">
                  <c:v>287.44145937239097</c:v>
                </c:pt>
                <c:pt idx="6">
                  <c:v>328.83162565079971</c:v>
                </c:pt>
                <c:pt idx="7">
                  <c:v>371.92409095249917</c:v>
                </c:pt>
                <c:pt idx="8">
                  <c:v>413.55046910168181</c:v>
                </c:pt>
                <c:pt idx="9">
                  <c:v>451.16464289323875</c:v>
                </c:pt>
                <c:pt idx="10">
                  <c:v>495.98195101383584</c:v>
                </c:pt>
                <c:pt idx="11">
                  <c:v>542.20586489756511</c:v>
                </c:pt>
                <c:pt idx="12">
                  <c:v>589.8009704488893</c:v>
                </c:pt>
                <c:pt idx="13">
                  <c:v>638.76726766780837</c:v>
                </c:pt>
                <c:pt idx="14">
                  <c:v>689.10475655432231</c:v>
                </c:pt>
                <c:pt idx="15">
                  <c:v>740.81343710843123</c:v>
                </c:pt>
              </c:numCache>
            </c:numRef>
          </c:yVal>
        </c:ser>
        <c:axId val="304911872"/>
        <c:axId val="304914816"/>
      </c:scatterChart>
      <c:valAx>
        <c:axId val="304911872"/>
        <c:scaling>
          <c:orientation val="minMax"/>
          <c:max val="0.1"/>
          <c:min val="0.0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Peak Penetration Level</a:t>
                </a:r>
              </a:p>
            </c:rich>
          </c:tx>
        </c:title>
        <c:numFmt formatCode="0%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04914816"/>
        <c:crosses val="autoZero"/>
        <c:crossBetween val="midCat"/>
        <c:majorUnit val="1.0000000000000004E-2"/>
      </c:valAx>
      <c:valAx>
        <c:axId val="304914816"/>
        <c:scaling>
          <c:orientation val="minMax"/>
          <c:max val="3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NPV</a:t>
                </a:r>
                <a:endParaRPr/>
              </a:p>
            </c:rich>
          </c:tx>
        </c:title>
        <c:numFmt formatCode="#,##0" sourceLinked="1"/>
        <c:tickLblPos val="nextTo"/>
        <c:crossAx val="3049118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7807870370370368"/>
          <c:y val="8.0250302045577662E-2"/>
          <c:w val="0.21703703703703708"/>
          <c:h val="0.2130440361621464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4</xdr:row>
      <xdr:rowOff>95250</xdr:rowOff>
    </xdr:from>
    <xdr:to>
      <xdr:col>13</xdr:col>
      <xdr:colOff>609600</xdr:colOff>
      <xdr:row>19</xdr:row>
      <xdr:rowOff>95250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21</xdr:row>
      <xdr:rowOff>0</xdr:rowOff>
    </xdr:from>
    <xdr:to>
      <xdr:col>14</xdr:col>
      <xdr:colOff>0</xdr:colOff>
      <xdr:row>36</xdr:row>
      <xdr:rowOff>0</xdr:rowOff>
    </xdr:to>
    <xdr:graphicFrame macro="">
      <xdr:nvGraphicFramePr>
        <xdr:cNvPr id="103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4"/>
  <sheetViews>
    <sheetView tabSelected="1" zoomScale="60" zoomScaleNormal="60" workbookViewId="0">
      <selection activeCell="Q104" sqref="Q104"/>
    </sheetView>
  </sheetViews>
  <sheetFormatPr defaultRowHeight="15.75"/>
  <cols>
    <col min="1" max="1" width="17.375" style="1" customWidth="1"/>
    <col min="2" max="2" width="26.625" customWidth="1"/>
    <col min="6" max="6" width="12" customWidth="1"/>
  </cols>
  <sheetData>
    <row r="1" spans="1:11">
      <c r="A1" s="1" t="s">
        <v>0</v>
      </c>
      <c r="B1" s="1" t="s">
        <v>71</v>
      </c>
    </row>
    <row r="3" spans="1:11">
      <c r="A3" s="2"/>
    </row>
    <row r="6" spans="1:11">
      <c r="A6" s="12" t="s">
        <v>59</v>
      </c>
      <c r="B6" s="1">
        <v>1</v>
      </c>
      <c r="F6" s="12" t="s">
        <v>60</v>
      </c>
      <c r="G6" s="1"/>
    </row>
    <row r="7" spans="1:11" ht="16.5" thickBot="1">
      <c r="B7" t="s">
        <v>1</v>
      </c>
      <c r="C7">
        <f>VLOOKUP(B6,E8:G11,2)</f>
        <v>0</v>
      </c>
      <c r="E7" s="1" t="s">
        <v>61</v>
      </c>
      <c r="F7" s="1" t="s">
        <v>62</v>
      </c>
      <c r="G7" s="1" t="s">
        <v>63</v>
      </c>
    </row>
    <row r="8" spans="1:11">
      <c r="B8" t="s">
        <v>64</v>
      </c>
      <c r="C8">
        <f>VLOOKUP(B6,E8:G11,3)</f>
        <v>0</v>
      </c>
      <c r="E8" s="13">
        <v>1</v>
      </c>
      <c r="F8" s="14">
        <v>0</v>
      </c>
      <c r="G8" s="15">
        <v>0</v>
      </c>
    </row>
    <row r="9" spans="1:11">
      <c r="E9" s="16">
        <v>2</v>
      </c>
      <c r="F9" s="17">
        <v>0</v>
      </c>
      <c r="G9" s="18">
        <v>1</v>
      </c>
      <c r="K9" s="5"/>
    </row>
    <row r="10" spans="1:11">
      <c r="E10" s="16">
        <v>3</v>
      </c>
      <c r="F10" s="17">
        <v>1</v>
      </c>
      <c r="G10" s="18">
        <v>0</v>
      </c>
      <c r="K10" s="5"/>
    </row>
    <row r="11" spans="1:11" ht="16.5" thickBot="1">
      <c r="E11" s="19">
        <v>4</v>
      </c>
      <c r="F11" s="20">
        <v>1</v>
      </c>
      <c r="G11" s="21">
        <v>1</v>
      </c>
      <c r="K11" s="5"/>
    </row>
    <row r="12" spans="1:11" ht="16.5" thickBot="1">
      <c r="A12" s="1" t="s">
        <v>2</v>
      </c>
    </row>
    <row r="13" spans="1:11" ht="16.5" thickBot="1">
      <c r="B13" s="3" t="s">
        <v>23</v>
      </c>
      <c r="E13" s="10" t="s">
        <v>44</v>
      </c>
      <c r="F13" s="11">
        <f>B104</f>
        <v>194.44851150686523</v>
      </c>
      <c r="H13" t="s">
        <v>57</v>
      </c>
      <c r="K13" t="s">
        <v>58</v>
      </c>
    </row>
    <row r="14" spans="1:11">
      <c r="B14" t="s">
        <v>19</v>
      </c>
      <c r="C14">
        <v>600</v>
      </c>
      <c r="I14">
        <v>1</v>
      </c>
      <c r="J14" s="6">
        <v>194.44851150686523</v>
      </c>
      <c r="K14" s="5">
        <f>(F13-J14)/J14</f>
        <v>0</v>
      </c>
    </row>
    <row r="15" spans="1:11">
      <c r="B15" t="s">
        <v>20</v>
      </c>
      <c r="C15">
        <v>450</v>
      </c>
      <c r="I15">
        <v>2</v>
      </c>
      <c r="J15" s="6">
        <v>159.64787480775368</v>
      </c>
      <c r="K15" s="5">
        <f>(F13-J15)/J15</f>
        <v>0.21798371410216463</v>
      </c>
    </row>
    <row r="16" spans="1:11">
      <c r="B16" t="s">
        <v>21</v>
      </c>
      <c r="C16">
        <v>140</v>
      </c>
      <c r="I16">
        <v>3</v>
      </c>
      <c r="J16" s="6">
        <v>211.66526358993758</v>
      </c>
      <c r="K16" s="5">
        <f>(F14-J16)/J16</f>
        <v>-1</v>
      </c>
    </row>
    <row r="17" spans="2:11">
      <c r="I17">
        <v>4</v>
      </c>
      <c r="J17" s="6">
        <v>287.44145937239102</v>
      </c>
      <c r="K17" s="5">
        <f>(F15-J17)/J17</f>
        <v>-1</v>
      </c>
    </row>
    <row r="18" spans="2:11">
      <c r="B18" t="s">
        <v>28</v>
      </c>
      <c r="C18">
        <v>2009</v>
      </c>
    </row>
    <row r="19" spans="2:11">
      <c r="B19" t="s">
        <v>42</v>
      </c>
      <c r="C19" s="4">
        <v>0.4</v>
      </c>
    </row>
    <row r="20" spans="2:11">
      <c r="B20" t="s">
        <v>43</v>
      </c>
      <c r="C20" s="4">
        <v>0.1</v>
      </c>
    </row>
    <row r="22" spans="2:11">
      <c r="B22" t="s">
        <v>26</v>
      </c>
    </row>
    <row r="23" spans="2:11">
      <c r="B23" t="s">
        <v>27</v>
      </c>
      <c r="C23">
        <v>2010</v>
      </c>
    </row>
    <row r="24" spans="2:11">
      <c r="B24" s="3" t="s">
        <v>45</v>
      </c>
      <c r="C24">
        <v>2014</v>
      </c>
    </row>
    <row r="25" spans="2:11">
      <c r="B25" s="23" t="s">
        <v>72</v>
      </c>
      <c r="C25" s="4">
        <v>0</v>
      </c>
    </row>
    <row r="26" spans="2:11">
      <c r="B26" s="23" t="s">
        <v>73</v>
      </c>
      <c r="C26" s="4">
        <v>0.1</v>
      </c>
    </row>
    <row r="27" spans="2:11">
      <c r="B27" t="s">
        <v>48</v>
      </c>
      <c r="C27" s="6">
        <v>1</v>
      </c>
    </row>
    <row r="28" spans="2:11">
      <c r="B28" t="s">
        <v>50</v>
      </c>
      <c r="C28" s="6">
        <f>MAX(C24-$C$7*C27,C23)</f>
        <v>2014</v>
      </c>
    </row>
    <row r="30" spans="2:11">
      <c r="B30" s="3" t="s">
        <v>55</v>
      </c>
    </row>
    <row r="31" spans="2:11">
      <c r="B31" t="s">
        <v>29</v>
      </c>
      <c r="C31">
        <v>2015</v>
      </c>
    </row>
    <row r="32" spans="2:11">
      <c r="B32" s="3" t="s">
        <v>56</v>
      </c>
      <c r="C32" s="4">
        <v>0.7</v>
      </c>
    </row>
    <row r="33" spans="2:3">
      <c r="C33" s="4"/>
    </row>
    <row r="34" spans="2:3">
      <c r="B34" t="s">
        <v>54</v>
      </c>
      <c r="C34" s="4"/>
    </row>
    <row r="35" spans="2:3">
      <c r="B35" t="s">
        <v>29</v>
      </c>
      <c r="C35">
        <v>2019</v>
      </c>
    </row>
    <row r="36" spans="2:3">
      <c r="B36" s="3" t="s">
        <v>56</v>
      </c>
      <c r="C36" s="4">
        <v>1</v>
      </c>
    </row>
    <row r="37" spans="2:3">
      <c r="C37" s="4"/>
    </row>
    <row r="38" spans="2:3">
      <c r="B38" t="s">
        <v>33</v>
      </c>
      <c r="C38" s="4"/>
    </row>
    <row r="39" spans="2:3">
      <c r="B39" t="s">
        <v>34</v>
      </c>
      <c r="C39" s="6">
        <v>10</v>
      </c>
    </row>
    <row r="40" spans="2:3">
      <c r="B40" t="s">
        <v>35</v>
      </c>
      <c r="C40" s="6"/>
    </row>
    <row r="41" spans="2:3">
      <c r="B41" t="s">
        <v>70</v>
      </c>
      <c r="C41" s="6">
        <v>1</v>
      </c>
    </row>
    <row r="42" spans="2:3">
      <c r="B42" t="s">
        <v>65</v>
      </c>
      <c r="C42">
        <v>50</v>
      </c>
    </row>
    <row r="43" spans="2:3">
      <c r="B43" t="s">
        <v>66</v>
      </c>
      <c r="C43">
        <v>100</v>
      </c>
    </row>
    <row r="44" spans="2:3">
      <c r="B44" t="s">
        <v>67</v>
      </c>
      <c r="C44">
        <v>0.5</v>
      </c>
    </row>
    <row r="45" spans="2:3">
      <c r="B45" t="s">
        <v>68</v>
      </c>
      <c r="C45">
        <v>2</v>
      </c>
    </row>
    <row r="46" spans="2:3">
      <c r="B46" t="s">
        <v>69</v>
      </c>
      <c r="C46">
        <f>(C45-C44)/(C43-C42)</f>
        <v>0.03</v>
      </c>
    </row>
    <row r="47" spans="2:3">
      <c r="C47" s="4"/>
    </row>
    <row r="48" spans="2:3">
      <c r="B48" t="s">
        <v>39</v>
      </c>
      <c r="C48" s="4"/>
    </row>
    <row r="49" spans="1:17">
      <c r="B49" t="s">
        <v>40</v>
      </c>
      <c r="C49" s="6">
        <v>4</v>
      </c>
    </row>
    <row r="50" spans="1:17">
      <c r="B50" t="s">
        <v>41</v>
      </c>
      <c r="C50" s="6">
        <v>15</v>
      </c>
    </row>
    <row r="51" spans="1:17">
      <c r="B51" s="3" t="s">
        <v>51</v>
      </c>
      <c r="C51">
        <v>25</v>
      </c>
    </row>
    <row r="52" spans="1:17">
      <c r="B52" s="3" t="s">
        <v>52</v>
      </c>
      <c r="C52">
        <v>20</v>
      </c>
    </row>
    <row r="53" spans="1:17">
      <c r="B53" s="3" t="s">
        <v>53</v>
      </c>
      <c r="C53">
        <v>10</v>
      </c>
    </row>
    <row r="54" spans="1:17">
      <c r="B54" t="s">
        <v>49</v>
      </c>
      <c r="C54" s="4">
        <v>0.5</v>
      </c>
    </row>
    <row r="56" spans="1:17">
      <c r="C56" s="1">
        <f>C18</f>
        <v>2009</v>
      </c>
      <c r="D56" s="1">
        <f>C56+1</f>
        <v>2010</v>
      </c>
      <c r="E56" s="1">
        <f t="shared" ref="E56:Q56" si="0">D56+1</f>
        <v>2011</v>
      </c>
      <c r="F56" s="1">
        <f t="shared" si="0"/>
        <v>2012</v>
      </c>
      <c r="G56" s="1">
        <f t="shared" si="0"/>
        <v>2013</v>
      </c>
      <c r="H56" s="1">
        <f t="shared" si="0"/>
        <v>2014</v>
      </c>
      <c r="I56" s="1">
        <f t="shared" si="0"/>
        <v>2015</v>
      </c>
      <c r="J56" s="1">
        <f t="shared" si="0"/>
        <v>2016</v>
      </c>
      <c r="K56" s="1">
        <f t="shared" si="0"/>
        <v>2017</v>
      </c>
      <c r="L56" s="1">
        <f t="shared" si="0"/>
        <v>2018</v>
      </c>
      <c r="M56" s="1">
        <f t="shared" si="0"/>
        <v>2019</v>
      </c>
      <c r="N56" s="1">
        <f t="shared" si="0"/>
        <v>2020</v>
      </c>
      <c r="O56" s="1">
        <f t="shared" si="0"/>
        <v>2021</v>
      </c>
      <c r="P56" s="1">
        <f t="shared" si="0"/>
        <v>2022</v>
      </c>
      <c r="Q56" s="1">
        <f t="shared" si="0"/>
        <v>2023</v>
      </c>
    </row>
    <row r="57" spans="1:17">
      <c r="A57" s="1" t="s">
        <v>3</v>
      </c>
    </row>
    <row r="58" spans="1:17">
      <c r="B58" s="3" t="s">
        <v>23</v>
      </c>
    </row>
    <row r="59" spans="1:17">
      <c r="B59" t="s">
        <v>19</v>
      </c>
      <c r="C59">
        <f>C14</f>
        <v>600</v>
      </c>
      <c r="D59">
        <f>C59</f>
        <v>600</v>
      </c>
      <c r="E59">
        <f t="shared" ref="E59:Q59" si="1">D59</f>
        <v>600</v>
      </c>
      <c r="F59">
        <f t="shared" si="1"/>
        <v>600</v>
      </c>
      <c r="G59">
        <f t="shared" si="1"/>
        <v>600</v>
      </c>
      <c r="H59">
        <f t="shared" si="1"/>
        <v>600</v>
      </c>
      <c r="I59">
        <f t="shared" si="1"/>
        <v>600</v>
      </c>
      <c r="J59">
        <f t="shared" si="1"/>
        <v>600</v>
      </c>
      <c r="K59">
        <f t="shared" si="1"/>
        <v>600</v>
      </c>
      <c r="L59">
        <f t="shared" si="1"/>
        <v>600</v>
      </c>
      <c r="M59">
        <f t="shared" si="1"/>
        <v>600</v>
      </c>
      <c r="N59">
        <f t="shared" si="1"/>
        <v>600</v>
      </c>
      <c r="O59">
        <f t="shared" si="1"/>
        <v>600</v>
      </c>
      <c r="P59">
        <f t="shared" si="1"/>
        <v>600</v>
      </c>
      <c r="Q59">
        <f t="shared" si="1"/>
        <v>600</v>
      </c>
    </row>
    <row r="60" spans="1:17">
      <c r="B60" t="s">
        <v>20</v>
      </c>
      <c r="C60">
        <f>C15</f>
        <v>450</v>
      </c>
      <c r="D60">
        <f t="shared" ref="D60:Q61" si="2">C60</f>
        <v>450</v>
      </c>
      <c r="E60">
        <f t="shared" si="2"/>
        <v>450</v>
      </c>
      <c r="F60">
        <f t="shared" si="2"/>
        <v>450</v>
      </c>
      <c r="G60">
        <f t="shared" si="2"/>
        <v>450</v>
      </c>
      <c r="H60">
        <f t="shared" si="2"/>
        <v>450</v>
      </c>
      <c r="I60">
        <f t="shared" si="2"/>
        <v>450</v>
      </c>
      <c r="J60">
        <f t="shared" si="2"/>
        <v>450</v>
      </c>
      <c r="K60">
        <f t="shared" si="2"/>
        <v>450</v>
      </c>
      <c r="L60">
        <f t="shared" si="2"/>
        <v>450</v>
      </c>
      <c r="M60">
        <f t="shared" si="2"/>
        <v>450</v>
      </c>
      <c r="N60">
        <f t="shared" si="2"/>
        <v>450</v>
      </c>
      <c r="O60">
        <f t="shared" si="2"/>
        <v>450</v>
      </c>
      <c r="P60">
        <f t="shared" si="2"/>
        <v>450</v>
      </c>
      <c r="Q60">
        <f t="shared" si="2"/>
        <v>450</v>
      </c>
    </row>
    <row r="61" spans="1:17">
      <c r="B61" t="s">
        <v>21</v>
      </c>
      <c r="C61">
        <f>C16</f>
        <v>140</v>
      </c>
      <c r="D61">
        <f t="shared" si="2"/>
        <v>140</v>
      </c>
      <c r="E61">
        <f t="shared" si="2"/>
        <v>140</v>
      </c>
      <c r="F61">
        <f t="shared" si="2"/>
        <v>140</v>
      </c>
      <c r="G61">
        <f t="shared" si="2"/>
        <v>140</v>
      </c>
      <c r="H61">
        <f t="shared" si="2"/>
        <v>140</v>
      </c>
      <c r="I61">
        <f t="shared" si="2"/>
        <v>140</v>
      </c>
      <c r="J61">
        <f t="shared" si="2"/>
        <v>140</v>
      </c>
      <c r="K61">
        <f t="shared" si="2"/>
        <v>140</v>
      </c>
      <c r="L61">
        <f t="shared" si="2"/>
        <v>140</v>
      </c>
      <c r="M61">
        <f t="shared" si="2"/>
        <v>140</v>
      </c>
      <c r="N61">
        <f t="shared" si="2"/>
        <v>140</v>
      </c>
      <c r="O61">
        <f t="shared" si="2"/>
        <v>140</v>
      </c>
      <c r="P61">
        <f t="shared" si="2"/>
        <v>140</v>
      </c>
      <c r="Q61">
        <f t="shared" si="2"/>
        <v>140</v>
      </c>
    </row>
    <row r="62" spans="1:17">
      <c r="B62" t="s">
        <v>22</v>
      </c>
      <c r="C62">
        <f>SUM(C59:C61)</f>
        <v>1190</v>
      </c>
      <c r="D62">
        <f t="shared" ref="D62:Q62" si="3">SUM(D59:D61)</f>
        <v>1190</v>
      </c>
      <c r="E62">
        <f t="shared" si="3"/>
        <v>1190</v>
      </c>
      <c r="F62">
        <f t="shared" si="3"/>
        <v>1190</v>
      </c>
      <c r="G62">
        <f t="shared" si="3"/>
        <v>1190</v>
      </c>
      <c r="H62">
        <f t="shared" si="3"/>
        <v>1190</v>
      </c>
      <c r="I62">
        <f t="shared" si="3"/>
        <v>1190</v>
      </c>
      <c r="J62">
        <f t="shared" si="3"/>
        <v>1190</v>
      </c>
      <c r="K62">
        <f t="shared" si="3"/>
        <v>1190</v>
      </c>
      <c r="L62">
        <f t="shared" si="3"/>
        <v>1190</v>
      </c>
      <c r="M62">
        <f t="shared" si="3"/>
        <v>1190</v>
      </c>
      <c r="N62">
        <f t="shared" si="3"/>
        <v>1190</v>
      </c>
      <c r="O62">
        <f t="shared" si="3"/>
        <v>1190</v>
      </c>
      <c r="P62">
        <f t="shared" si="3"/>
        <v>1190</v>
      </c>
      <c r="Q62">
        <f t="shared" si="3"/>
        <v>1190</v>
      </c>
    </row>
    <row r="64" spans="1:17">
      <c r="B64" t="s">
        <v>26</v>
      </c>
      <c r="C64" s="24">
        <f>IF(C56&lt;$C$23,0,IF(AND(C56=$C$23,C56&lt;&gt;$C$28),$C$25,IF(C56&lt;$C$28,($C$26-$C$25)/($C$28-$C$23)+B64,$C$26)))</f>
        <v>0</v>
      </c>
      <c r="D64" s="24">
        <f t="shared" ref="D64:Q64" si="4">IF(D56&lt;$C$23,0,IF(AND(D56=$C$23,D56&lt;&gt;$C$28),$C$25,IF(D56&lt;$C$28,($C$26-$C$25)/($C$28-$C$23)+C64,$C$26)))</f>
        <v>0</v>
      </c>
      <c r="E64" s="24">
        <f t="shared" si="4"/>
        <v>2.5000000000000001E-2</v>
      </c>
      <c r="F64" s="24">
        <f t="shared" si="4"/>
        <v>0.05</v>
      </c>
      <c r="G64" s="24">
        <f t="shared" si="4"/>
        <v>7.5000000000000011E-2</v>
      </c>
      <c r="H64" s="24">
        <f t="shared" si="4"/>
        <v>0.1</v>
      </c>
      <c r="I64" s="24">
        <f t="shared" si="4"/>
        <v>0.1</v>
      </c>
      <c r="J64" s="24">
        <f t="shared" si="4"/>
        <v>0.1</v>
      </c>
      <c r="K64" s="24">
        <f t="shared" si="4"/>
        <v>0.1</v>
      </c>
      <c r="L64" s="24">
        <f t="shared" si="4"/>
        <v>0.1</v>
      </c>
      <c r="M64" s="24">
        <f t="shared" si="4"/>
        <v>0.1</v>
      </c>
      <c r="N64" s="24">
        <f t="shared" si="4"/>
        <v>0.1</v>
      </c>
      <c r="O64" s="24">
        <f t="shared" si="4"/>
        <v>0.1</v>
      </c>
      <c r="P64" s="24">
        <f t="shared" si="4"/>
        <v>0.1</v>
      </c>
      <c r="Q64" s="24">
        <f t="shared" si="4"/>
        <v>0.1</v>
      </c>
    </row>
    <row r="66" spans="2:17">
      <c r="B66" t="s">
        <v>24</v>
      </c>
      <c r="C66">
        <f>C64*(C59+$C$7*(C60+C61))</f>
        <v>0</v>
      </c>
      <c r="D66">
        <f t="shared" ref="D66:Q66" si="5">D64*(D59+$C$7*(D60+D61))</f>
        <v>0</v>
      </c>
      <c r="E66">
        <f t="shared" si="5"/>
        <v>15</v>
      </c>
      <c r="F66">
        <f t="shared" si="5"/>
        <v>30</v>
      </c>
      <c r="G66">
        <f t="shared" si="5"/>
        <v>45.000000000000007</v>
      </c>
      <c r="H66">
        <f t="shared" si="5"/>
        <v>60</v>
      </c>
      <c r="I66">
        <f t="shared" si="5"/>
        <v>60</v>
      </c>
      <c r="J66">
        <f t="shared" si="5"/>
        <v>60</v>
      </c>
      <c r="K66">
        <f t="shared" si="5"/>
        <v>60</v>
      </c>
      <c r="L66">
        <f t="shared" si="5"/>
        <v>60</v>
      </c>
      <c r="M66">
        <f t="shared" si="5"/>
        <v>60</v>
      </c>
      <c r="N66">
        <f t="shared" si="5"/>
        <v>60</v>
      </c>
      <c r="O66">
        <f t="shared" si="5"/>
        <v>60</v>
      </c>
      <c r="P66">
        <f t="shared" si="5"/>
        <v>60</v>
      </c>
      <c r="Q66">
        <f t="shared" si="5"/>
        <v>60</v>
      </c>
    </row>
    <row r="67" spans="2:17">
      <c r="B67" t="s">
        <v>25</v>
      </c>
      <c r="C67">
        <f>0</f>
        <v>0</v>
      </c>
      <c r="D67">
        <f t="shared" ref="D67:Q67" si="6">D66-C66</f>
        <v>0</v>
      </c>
      <c r="E67">
        <f t="shared" si="6"/>
        <v>15</v>
      </c>
      <c r="F67">
        <f t="shared" si="6"/>
        <v>15</v>
      </c>
      <c r="G67">
        <f t="shared" si="6"/>
        <v>15.000000000000007</v>
      </c>
      <c r="H67">
        <f t="shared" si="6"/>
        <v>14.999999999999993</v>
      </c>
      <c r="I67">
        <f t="shared" si="6"/>
        <v>0</v>
      </c>
      <c r="J67">
        <f t="shared" si="6"/>
        <v>0</v>
      </c>
      <c r="K67">
        <f t="shared" si="6"/>
        <v>0</v>
      </c>
      <c r="L67">
        <f t="shared" si="6"/>
        <v>0</v>
      </c>
      <c r="M67">
        <f t="shared" si="6"/>
        <v>0</v>
      </c>
      <c r="N67">
        <f t="shared" si="6"/>
        <v>0</v>
      </c>
      <c r="O67">
        <f t="shared" si="6"/>
        <v>0</v>
      </c>
      <c r="P67">
        <f t="shared" si="6"/>
        <v>0</v>
      </c>
      <c r="Q67">
        <f t="shared" si="6"/>
        <v>0</v>
      </c>
    </row>
    <row r="68" spans="2:17">
      <c r="B68" t="s">
        <v>30</v>
      </c>
      <c r="C68" s="5">
        <f>IF(AND(C56&lt;$C$31, C56&lt;$C$35),1,IF(AND(C56&gt;=$C$31, C56&lt;$C$35),1-$C$32,1-$C$36))</f>
        <v>1</v>
      </c>
      <c r="D68" s="5">
        <f t="shared" ref="D68:Q68" si="7">IF(AND(D56&lt;$C$31, D56&lt;$C$35),1,IF(AND(D56&gt;=$C$31, D56&lt;$C$35),1-$C$32,1-$C$36))</f>
        <v>1</v>
      </c>
      <c r="E68" s="5">
        <f t="shared" si="7"/>
        <v>1</v>
      </c>
      <c r="F68" s="5">
        <f t="shared" si="7"/>
        <v>1</v>
      </c>
      <c r="G68" s="5">
        <f t="shared" si="7"/>
        <v>1</v>
      </c>
      <c r="H68" s="5">
        <f t="shared" si="7"/>
        <v>1</v>
      </c>
      <c r="I68" s="5">
        <f t="shared" si="7"/>
        <v>0.30000000000000004</v>
      </c>
      <c r="J68" s="5">
        <f t="shared" si="7"/>
        <v>0.30000000000000004</v>
      </c>
      <c r="K68" s="5">
        <f t="shared" si="7"/>
        <v>0.30000000000000004</v>
      </c>
      <c r="L68" s="5">
        <f t="shared" si="7"/>
        <v>0.30000000000000004</v>
      </c>
      <c r="M68" s="5">
        <f t="shared" si="7"/>
        <v>0</v>
      </c>
      <c r="N68" s="5">
        <f t="shared" si="7"/>
        <v>0</v>
      </c>
      <c r="O68" s="5">
        <f t="shared" si="7"/>
        <v>0</v>
      </c>
      <c r="P68" s="5">
        <f t="shared" si="7"/>
        <v>0</v>
      </c>
      <c r="Q68" s="5">
        <f t="shared" si="7"/>
        <v>0</v>
      </c>
    </row>
    <row r="70" spans="2:17">
      <c r="B70" t="s">
        <v>31</v>
      </c>
      <c r="C70">
        <f>+C68*C67</f>
        <v>0</v>
      </c>
      <c r="D70">
        <f t="shared" ref="D70:Q70" si="8">+D68*D67</f>
        <v>0</v>
      </c>
      <c r="E70">
        <f t="shared" si="8"/>
        <v>15</v>
      </c>
      <c r="F70">
        <f t="shared" si="8"/>
        <v>15</v>
      </c>
      <c r="G70">
        <f t="shared" si="8"/>
        <v>15.000000000000007</v>
      </c>
      <c r="H70">
        <f t="shared" si="8"/>
        <v>14.999999999999993</v>
      </c>
      <c r="I70">
        <f t="shared" si="8"/>
        <v>0</v>
      </c>
      <c r="J70">
        <f t="shared" si="8"/>
        <v>0</v>
      </c>
      <c r="K70">
        <f t="shared" si="8"/>
        <v>0</v>
      </c>
      <c r="L70">
        <f t="shared" si="8"/>
        <v>0</v>
      </c>
      <c r="M70">
        <f t="shared" si="8"/>
        <v>0</v>
      </c>
      <c r="N70">
        <f t="shared" si="8"/>
        <v>0</v>
      </c>
      <c r="O70">
        <f t="shared" si="8"/>
        <v>0</v>
      </c>
      <c r="P70">
        <f t="shared" si="8"/>
        <v>0</v>
      </c>
      <c r="Q70">
        <f t="shared" si="8"/>
        <v>0</v>
      </c>
    </row>
    <row r="71" spans="2:17">
      <c r="B71" t="s">
        <v>32</v>
      </c>
      <c r="C71">
        <v>0</v>
      </c>
      <c r="D71">
        <f>C71+D70</f>
        <v>0</v>
      </c>
      <c r="E71">
        <f t="shared" ref="E71:Q71" si="9">D71+E70</f>
        <v>15</v>
      </c>
      <c r="F71">
        <f t="shared" si="9"/>
        <v>30</v>
      </c>
      <c r="G71">
        <f t="shared" si="9"/>
        <v>45.000000000000007</v>
      </c>
      <c r="H71">
        <f t="shared" si="9"/>
        <v>60</v>
      </c>
      <c r="I71">
        <f t="shared" si="9"/>
        <v>60</v>
      </c>
      <c r="J71">
        <f t="shared" si="9"/>
        <v>60</v>
      </c>
      <c r="K71">
        <f t="shared" si="9"/>
        <v>60</v>
      </c>
      <c r="L71">
        <f t="shared" si="9"/>
        <v>60</v>
      </c>
      <c r="M71">
        <f t="shared" si="9"/>
        <v>60</v>
      </c>
      <c r="N71">
        <f t="shared" si="9"/>
        <v>60</v>
      </c>
      <c r="O71">
        <f t="shared" si="9"/>
        <v>60</v>
      </c>
      <c r="P71">
        <f t="shared" si="9"/>
        <v>60</v>
      </c>
      <c r="Q71">
        <f t="shared" si="9"/>
        <v>60</v>
      </c>
    </row>
    <row r="72" spans="2:17">
      <c r="B72" t="s">
        <v>36</v>
      </c>
      <c r="C72">
        <f>C71*C68</f>
        <v>0</v>
      </c>
      <c r="D72">
        <f t="shared" ref="D72:I72" si="10">D71*D68</f>
        <v>0</v>
      </c>
      <c r="E72">
        <f t="shared" si="10"/>
        <v>15</v>
      </c>
      <c r="F72">
        <f t="shared" si="10"/>
        <v>30</v>
      </c>
      <c r="G72">
        <f t="shared" si="10"/>
        <v>45.000000000000007</v>
      </c>
      <c r="H72">
        <f t="shared" si="10"/>
        <v>60</v>
      </c>
      <c r="I72">
        <f t="shared" si="10"/>
        <v>18.000000000000004</v>
      </c>
      <c r="J72">
        <f t="shared" ref="J72:Q72" si="11">J71*J68</f>
        <v>18.000000000000004</v>
      </c>
      <c r="K72">
        <f t="shared" si="11"/>
        <v>18.000000000000004</v>
      </c>
      <c r="L72">
        <f t="shared" si="11"/>
        <v>18.000000000000004</v>
      </c>
      <c r="M72">
        <f t="shared" si="11"/>
        <v>0</v>
      </c>
      <c r="N72">
        <f t="shared" si="11"/>
        <v>0</v>
      </c>
      <c r="O72">
        <f t="shared" si="11"/>
        <v>0</v>
      </c>
      <c r="P72">
        <f t="shared" si="11"/>
        <v>0</v>
      </c>
      <c r="Q72">
        <f t="shared" si="11"/>
        <v>0</v>
      </c>
    </row>
    <row r="74" spans="2:17">
      <c r="B74" t="s">
        <v>37</v>
      </c>
    </row>
    <row r="75" spans="2:17">
      <c r="B75" t="s">
        <v>38</v>
      </c>
    </row>
    <row r="76" spans="2:17">
      <c r="B76" t="s">
        <v>46</v>
      </c>
      <c r="C76">
        <f t="shared" ref="C76:Q76" si="12">(1-$C$7)*C70*$C$39</f>
        <v>0</v>
      </c>
      <c r="D76">
        <f t="shared" si="12"/>
        <v>0</v>
      </c>
      <c r="E76">
        <f t="shared" si="12"/>
        <v>150</v>
      </c>
      <c r="F76">
        <f t="shared" si="12"/>
        <v>150</v>
      </c>
      <c r="G76">
        <f t="shared" si="12"/>
        <v>150.00000000000006</v>
      </c>
      <c r="H76">
        <f t="shared" si="12"/>
        <v>149.99999999999994</v>
      </c>
      <c r="I76">
        <f t="shared" si="12"/>
        <v>0</v>
      </c>
      <c r="J76">
        <f t="shared" si="12"/>
        <v>0</v>
      </c>
      <c r="K76">
        <f t="shared" si="12"/>
        <v>0</v>
      </c>
      <c r="L76">
        <f t="shared" si="12"/>
        <v>0</v>
      </c>
      <c r="M76">
        <f t="shared" si="12"/>
        <v>0</v>
      </c>
      <c r="N76">
        <f t="shared" si="12"/>
        <v>0</v>
      </c>
      <c r="O76">
        <f t="shared" si="12"/>
        <v>0</v>
      </c>
      <c r="P76">
        <f t="shared" si="12"/>
        <v>0</v>
      </c>
      <c r="Q76">
        <f t="shared" si="12"/>
        <v>0</v>
      </c>
    </row>
    <row r="77" spans="2:17">
      <c r="B77" t="s">
        <v>47</v>
      </c>
      <c r="C77">
        <f t="shared" ref="C77:Q77" si="13">$C$7*$C$54*C70*$C$39</f>
        <v>0</v>
      </c>
      <c r="D77">
        <f t="shared" si="13"/>
        <v>0</v>
      </c>
      <c r="E77">
        <f t="shared" si="13"/>
        <v>0</v>
      </c>
      <c r="F77">
        <f t="shared" si="13"/>
        <v>0</v>
      </c>
      <c r="G77">
        <f t="shared" si="13"/>
        <v>0</v>
      </c>
      <c r="H77">
        <f t="shared" si="13"/>
        <v>0</v>
      </c>
      <c r="I77">
        <f t="shared" si="13"/>
        <v>0</v>
      </c>
      <c r="J77">
        <f t="shared" si="13"/>
        <v>0</v>
      </c>
      <c r="K77">
        <f t="shared" si="13"/>
        <v>0</v>
      </c>
      <c r="L77">
        <f t="shared" si="13"/>
        <v>0</v>
      </c>
      <c r="M77">
        <f t="shared" si="13"/>
        <v>0</v>
      </c>
      <c r="N77">
        <f t="shared" si="13"/>
        <v>0</v>
      </c>
      <c r="O77">
        <f t="shared" si="13"/>
        <v>0</v>
      </c>
      <c r="P77">
        <f t="shared" si="13"/>
        <v>0</v>
      </c>
      <c r="Q77">
        <f t="shared" si="13"/>
        <v>0</v>
      </c>
    </row>
    <row r="78" spans="2:17">
      <c r="B78" t="s">
        <v>35</v>
      </c>
      <c r="C78">
        <f t="shared" ref="C78:Q78" si="14">C72*IF($C$8=0,$C$41,IF(C72&lt;$C$42,$C$44,IF(C72&gt;$C$43,$C$45,$C$44+$C$46*(C72-$C$42))))</f>
        <v>0</v>
      </c>
      <c r="D78">
        <f t="shared" si="14"/>
        <v>0</v>
      </c>
      <c r="E78" s="22">
        <f t="shared" si="14"/>
        <v>15</v>
      </c>
      <c r="F78" s="22">
        <f t="shared" si="14"/>
        <v>30</v>
      </c>
      <c r="G78" s="22">
        <f t="shared" si="14"/>
        <v>45.000000000000007</v>
      </c>
      <c r="H78" s="22">
        <f t="shared" si="14"/>
        <v>60</v>
      </c>
      <c r="I78" s="22">
        <f t="shared" si="14"/>
        <v>18.000000000000004</v>
      </c>
      <c r="J78" s="22">
        <f t="shared" si="14"/>
        <v>18.000000000000004</v>
      </c>
      <c r="K78" s="22">
        <f t="shared" si="14"/>
        <v>18.000000000000004</v>
      </c>
      <c r="L78" s="22">
        <f t="shared" si="14"/>
        <v>18.000000000000004</v>
      </c>
      <c r="M78">
        <f t="shared" si="14"/>
        <v>0</v>
      </c>
      <c r="N78">
        <f t="shared" si="14"/>
        <v>0</v>
      </c>
      <c r="O78">
        <f t="shared" si="14"/>
        <v>0</v>
      </c>
      <c r="P78">
        <f t="shared" si="14"/>
        <v>0</v>
      </c>
      <c r="Q78">
        <f t="shared" si="14"/>
        <v>0</v>
      </c>
    </row>
    <row r="79" spans="2:17">
      <c r="B79" t="s">
        <v>22</v>
      </c>
      <c r="C79">
        <f>SUM(C76:C78)</f>
        <v>0</v>
      </c>
      <c r="D79">
        <f t="shared" ref="D79:Q79" si="15">SUM(D76:D78)</f>
        <v>0</v>
      </c>
      <c r="E79" s="22">
        <f t="shared" si="15"/>
        <v>165</v>
      </c>
      <c r="F79" s="22">
        <f t="shared" si="15"/>
        <v>180</v>
      </c>
      <c r="G79" s="22">
        <f t="shared" si="15"/>
        <v>195.00000000000006</v>
      </c>
      <c r="H79" s="22">
        <f t="shared" si="15"/>
        <v>209.99999999999994</v>
      </c>
      <c r="I79" s="22">
        <f t="shared" si="15"/>
        <v>18.000000000000004</v>
      </c>
      <c r="J79" s="22">
        <f t="shared" si="15"/>
        <v>18.000000000000004</v>
      </c>
      <c r="K79" s="22">
        <f t="shared" si="15"/>
        <v>18.000000000000004</v>
      </c>
      <c r="L79" s="22">
        <f t="shared" si="15"/>
        <v>18.000000000000004</v>
      </c>
      <c r="M79">
        <f t="shared" si="15"/>
        <v>0</v>
      </c>
      <c r="N79">
        <f t="shared" si="15"/>
        <v>0</v>
      </c>
      <c r="O79">
        <f t="shared" si="15"/>
        <v>0</v>
      </c>
      <c r="P79">
        <f t="shared" si="15"/>
        <v>0</v>
      </c>
      <c r="Q79">
        <f t="shared" si="15"/>
        <v>0</v>
      </c>
    </row>
    <row r="81" spans="1:17">
      <c r="A81" s="1" t="s">
        <v>4</v>
      </c>
    </row>
    <row r="82" spans="1:17">
      <c r="B82" t="s">
        <v>16</v>
      </c>
      <c r="C82" s="7">
        <f>C70*$C$49</f>
        <v>0</v>
      </c>
      <c r="D82" s="7">
        <f t="shared" ref="D82:Q82" si="16">D70*$C$49</f>
        <v>0</v>
      </c>
      <c r="E82" s="7">
        <f t="shared" si="16"/>
        <v>60</v>
      </c>
      <c r="F82" s="7">
        <f t="shared" si="16"/>
        <v>60</v>
      </c>
      <c r="G82" s="7">
        <f t="shared" si="16"/>
        <v>60.000000000000028</v>
      </c>
      <c r="H82" s="7">
        <f t="shared" si="16"/>
        <v>59.999999999999972</v>
      </c>
      <c r="I82" s="7">
        <f t="shared" si="16"/>
        <v>0</v>
      </c>
      <c r="J82" s="7">
        <f t="shared" si="16"/>
        <v>0</v>
      </c>
      <c r="K82" s="7">
        <f t="shared" si="16"/>
        <v>0</v>
      </c>
      <c r="L82" s="7">
        <f t="shared" si="16"/>
        <v>0</v>
      </c>
      <c r="M82" s="7">
        <f t="shared" si="16"/>
        <v>0</v>
      </c>
      <c r="N82" s="7">
        <f t="shared" si="16"/>
        <v>0</v>
      </c>
      <c r="O82" s="7">
        <f t="shared" si="16"/>
        <v>0</v>
      </c>
      <c r="P82" s="7">
        <f t="shared" si="16"/>
        <v>0</v>
      </c>
      <c r="Q82" s="7">
        <f t="shared" si="16"/>
        <v>0</v>
      </c>
    </row>
    <row r="83" spans="1:17">
      <c r="B83" s="3" t="s">
        <v>17</v>
      </c>
      <c r="C83" s="7">
        <f t="shared" ref="C83:Q83" si="17">IF(C70&gt;0,$C$50,0)*(1-$C$7)</f>
        <v>0</v>
      </c>
      <c r="D83" s="7">
        <f t="shared" si="17"/>
        <v>0</v>
      </c>
      <c r="E83" s="7">
        <f t="shared" si="17"/>
        <v>15</v>
      </c>
      <c r="F83" s="7">
        <f t="shared" si="17"/>
        <v>15</v>
      </c>
      <c r="G83" s="7">
        <f t="shared" si="17"/>
        <v>15</v>
      </c>
      <c r="H83" s="7">
        <f t="shared" si="17"/>
        <v>15</v>
      </c>
      <c r="I83" s="7">
        <f t="shared" si="17"/>
        <v>0</v>
      </c>
      <c r="J83" s="7">
        <f t="shared" si="17"/>
        <v>0</v>
      </c>
      <c r="K83" s="7">
        <f t="shared" si="17"/>
        <v>0</v>
      </c>
      <c r="L83" s="7">
        <f t="shared" si="17"/>
        <v>0</v>
      </c>
      <c r="M83" s="7">
        <f t="shared" si="17"/>
        <v>0</v>
      </c>
      <c r="N83" s="7">
        <f t="shared" si="17"/>
        <v>0</v>
      </c>
      <c r="O83" s="7">
        <f t="shared" si="17"/>
        <v>0</v>
      </c>
      <c r="P83" s="7">
        <f t="shared" si="17"/>
        <v>0</v>
      </c>
      <c r="Q83" s="7">
        <f t="shared" si="17"/>
        <v>0</v>
      </c>
    </row>
    <row r="84" spans="1:17">
      <c r="B84" t="s">
        <v>15</v>
      </c>
      <c r="C84" s="7">
        <f>C82+C83</f>
        <v>0</v>
      </c>
      <c r="D84" s="7">
        <f t="shared" ref="D84:Q84" si="18">D82+D83</f>
        <v>0</v>
      </c>
      <c r="E84" s="7">
        <f t="shared" si="18"/>
        <v>75</v>
      </c>
      <c r="F84" s="7">
        <f t="shared" si="18"/>
        <v>75</v>
      </c>
      <c r="G84" s="7">
        <f t="shared" si="18"/>
        <v>75.000000000000028</v>
      </c>
      <c r="H84" s="7">
        <f t="shared" si="18"/>
        <v>74.999999999999972</v>
      </c>
      <c r="I84" s="7">
        <f t="shared" si="18"/>
        <v>0</v>
      </c>
      <c r="J84" s="7">
        <f t="shared" si="18"/>
        <v>0</v>
      </c>
      <c r="K84" s="7">
        <f t="shared" si="18"/>
        <v>0</v>
      </c>
      <c r="L84" s="7">
        <f t="shared" si="18"/>
        <v>0</v>
      </c>
      <c r="M84" s="7">
        <f t="shared" si="18"/>
        <v>0</v>
      </c>
      <c r="N84" s="7">
        <f t="shared" si="18"/>
        <v>0</v>
      </c>
      <c r="O84" s="7">
        <f t="shared" si="18"/>
        <v>0</v>
      </c>
      <c r="P84" s="7">
        <f t="shared" si="18"/>
        <v>0</v>
      </c>
      <c r="Q84" s="7">
        <f t="shared" si="18"/>
        <v>0</v>
      </c>
    </row>
    <row r="86" spans="1:17">
      <c r="A86" s="1" t="s">
        <v>5</v>
      </c>
    </row>
    <row r="87" spans="1:17">
      <c r="B87" t="s">
        <v>14</v>
      </c>
      <c r="C87">
        <f>C51+C52*$C$7</f>
        <v>25</v>
      </c>
    </row>
    <row r="88" spans="1:17">
      <c r="B88" t="s">
        <v>12</v>
      </c>
      <c r="C88">
        <f>IF(C56&lt;$C$18+$C$53,$C$87/$C$53,0)</f>
        <v>2.5</v>
      </c>
      <c r="D88">
        <f t="shared" ref="D88:Q88" si="19">IF(D56&lt;$C$18+$C$53,$C$87/$C$53,0)</f>
        <v>2.5</v>
      </c>
      <c r="E88">
        <f t="shared" si="19"/>
        <v>2.5</v>
      </c>
      <c r="F88">
        <f t="shared" si="19"/>
        <v>2.5</v>
      </c>
      <c r="G88">
        <f t="shared" si="19"/>
        <v>2.5</v>
      </c>
      <c r="H88">
        <f t="shared" si="19"/>
        <v>2.5</v>
      </c>
      <c r="I88">
        <f t="shared" si="19"/>
        <v>2.5</v>
      </c>
      <c r="J88">
        <f t="shared" si="19"/>
        <v>2.5</v>
      </c>
      <c r="K88">
        <f t="shared" si="19"/>
        <v>2.5</v>
      </c>
      <c r="L88">
        <f t="shared" si="19"/>
        <v>2.5</v>
      </c>
      <c r="M88">
        <f t="shared" si="19"/>
        <v>0</v>
      </c>
      <c r="N88">
        <f t="shared" si="19"/>
        <v>0</v>
      </c>
      <c r="O88">
        <f t="shared" si="19"/>
        <v>0</v>
      </c>
      <c r="P88">
        <f t="shared" si="19"/>
        <v>0</v>
      </c>
      <c r="Q88">
        <f t="shared" si="19"/>
        <v>0</v>
      </c>
    </row>
    <row r="90" spans="1:17">
      <c r="A90" s="1" t="s">
        <v>6</v>
      </c>
    </row>
    <row r="91" spans="1:17">
      <c r="B91" t="s">
        <v>3</v>
      </c>
      <c r="C91" s="8">
        <f>C79</f>
        <v>0</v>
      </c>
      <c r="D91" s="8">
        <f t="shared" ref="D91:Q91" si="20">D79</f>
        <v>0</v>
      </c>
      <c r="E91" s="8">
        <f t="shared" si="20"/>
        <v>165</v>
      </c>
      <c r="F91" s="8">
        <f t="shared" si="20"/>
        <v>180</v>
      </c>
      <c r="G91" s="8">
        <f t="shared" si="20"/>
        <v>195.00000000000006</v>
      </c>
      <c r="H91" s="8">
        <f t="shared" si="20"/>
        <v>209.99999999999994</v>
      </c>
      <c r="I91" s="8">
        <f t="shared" si="20"/>
        <v>18.000000000000004</v>
      </c>
      <c r="J91" s="8">
        <f t="shared" si="20"/>
        <v>18.000000000000004</v>
      </c>
      <c r="K91" s="8">
        <f t="shared" si="20"/>
        <v>18.000000000000004</v>
      </c>
      <c r="L91" s="8">
        <f t="shared" si="20"/>
        <v>18.000000000000004</v>
      </c>
      <c r="M91" s="8">
        <f t="shared" si="20"/>
        <v>0</v>
      </c>
      <c r="N91" s="8">
        <f t="shared" si="20"/>
        <v>0</v>
      </c>
      <c r="O91" s="8">
        <f t="shared" si="20"/>
        <v>0</v>
      </c>
      <c r="P91" s="8">
        <f t="shared" si="20"/>
        <v>0</v>
      </c>
      <c r="Q91" s="8">
        <f t="shared" si="20"/>
        <v>0</v>
      </c>
    </row>
    <row r="92" spans="1:17">
      <c r="B92" t="s">
        <v>8</v>
      </c>
      <c r="C92" s="8">
        <f>C84</f>
        <v>0</v>
      </c>
      <c r="D92" s="8">
        <f t="shared" ref="D92:Q92" si="21">D84</f>
        <v>0</v>
      </c>
      <c r="E92" s="8">
        <f t="shared" si="21"/>
        <v>75</v>
      </c>
      <c r="F92" s="8">
        <f t="shared" si="21"/>
        <v>75</v>
      </c>
      <c r="G92" s="8">
        <f t="shared" si="21"/>
        <v>75.000000000000028</v>
      </c>
      <c r="H92" s="8">
        <f t="shared" si="21"/>
        <v>74.999999999999972</v>
      </c>
      <c r="I92" s="8">
        <f t="shared" si="21"/>
        <v>0</v>
      </c>
      <c r="J92" s="8">
        <f t="shared" si="21"/>
        <v>0</v>
      </c>
      <c r="K92" s="8">
        <f t="shared" si="21"/>
        <v>0</v>
      </c>
      <c r="L92" s="8">
        <f t="shared" si="21"/>
        <v>0</v>
      </c>
      <c r="M92" s="8">
        <f t="shared" si="21"/>
        <v>0</v>
      </c>
      <c r="N92" s="8">
        <f t="shared" si="21"/>
        <v>0</v>
      </c>
      <c r="O92" s="8">
        <f t="shared" si="21"/>
        <v>0</v>
      </c>
      <c r="P92" s="8">
        <f t="shared" si="21"/>
        <v>0</v>
      </c>
      <c r="Q92" s="8">
        <f t="shared" si="21"/>
        <v>0</v>
      </c>
    </row>
    <row r="93" spans="1:17">
      <c r="B93" t="s">
        <v>9</v>
      </c>
      <c r="C93" s="8">
        <f>C91-C92</f>
        <v>0</v>
      </c>
      <c r="D93" s="8">
        <f t="shared" ref="D93:Q93" si="22">D91-D92</f>
        <v>0</v>
      </c>
      <c r="E93" s="8">
        <f t="shared" si="22"/>
        <v>90</v>
      </c>
      <c r="F93" s="8">
        <f t="shared" si="22"/>
        <v>105</v>
      </c>
      <c r="G93" s="8">
        <f t="shared" si="22"/>
        <v>120.00000000000003</v>
      </c>
      <c r="H93" s="8">
        <f t="shared" si="22"/>
        <v>134.99999999999997</v>
      </c>
      <c r="I93" s="8">
        <f t="shared" si="22"/>
        <v>18.000000000000004</v>
      </c>
      <c r="J93" s="8">
        <f t="shared" si="22"/>
        <v>18.000000000000004</v>
      </c>
      <c r="K93" s="8">
        <f t="shared" si="22"/>
        <v>18.000000000000004</v>
      </c>
      <c r="L93" s="8">
        <f t="shared" si="22"/>
        <v>18.000000000000004</v>
      </c>
      <c r="M93" s="8">
        <f t="shared" si="22"/>
        <v>0</v>
      </c>
      <c r="N93" s="8">
        <f t="shared" si="22"/>
        <v>0</v>
      </c>
      <c r="O93" s="8">
        <f t="shared" si="22"/>
        <v>0</v>
      </c>
      <c r="P93" s="8">
        <f t="shared" si="22"/>
        <v>0</v>
      </c>
      <c r="Q93" s="8">
        <f t="shared" si="22"/>
        <v>0</v>
      </c>
    </row>
    <row r="94" spans="1:17">
      <c r="B94" t="s">
        <v>12</v>
      </c>
      <c r="C94" s="8">
        <f>C88</f>
        <v>2.5</v>
      </c>
      <c r="D94" s="8">
        <f t="shared" ref="D94:Q94" si="23">D88</f>
        <v>2.5</v>
      </c>
      <c r="E94" s="8">
        <f t="shared" si="23"/>
        <v>2.5</v>
      </c>
      <c r="F94" s="8">
        <f t="shared" si="23"/>
        <v>2.5</v>
      </c>
      <c r="G94" s="8">
        <f t="shared" si="23"/>
        <v>2.5</v>
      </c>
      <c r="H94" s="8">
        <f t="shared" si="23"/>
        <v>2.5</v>
      </c>
      <c r="I94" s="8">
        <f t="shared" si="23"/>
        <v>2.5</v>
      </c>
      <c r="J94" s="8">
        <f t="shared" si="23"/>
        <v>2.5</v>
      </c>
      <c r="K94" s="8">
        <f t="shared" si="23"/>
        <v>2.5</v>
      </c>
      <c r="L94" s="8">
        <f t="shared" si="23"/>
        <v>2.5</v>
      </c>
      <c r="M94" s="8">
        <f t="shared" si="23"/>
        <v>0</v>
      </c>
      <c r="N94" s="8">
        <f t="shared" si="23"/>
        <v>0</v>
      </c>
      <c r="O94" s="8">
        <f t="shared" si="23"/>
        <v>0</v>
      </c>
      <c r="P94" s="8">
        <f t="shared" si="23"/>
        <v>0</v>
      </c>
      <c r="Q94" s="8">
        <f t="shared" si="23"/>
        <v>0</v>
      </c>
    </row>
    <row r="95" spans="1:17">
      <c r="B95" t="s">
        <v>10</v>
      </c>
      <c r="C95" s="8">
        <f>(C93-C94)*$C$19</f>
        <v>-1</v>
      </c>
      <c r="D95" s="8">
        <f t="shared" ref="D95:Q95" si="24">(D93-D94)*$C$19</f>
        <v>-1</v>
      </c>
      <c r="E95" s="8">
        <f t="shared" si="24"/>
        <v>35</v>
      </c>
      <c r="F95" s="8">
        <f t="shared" si="24"/>
        <v>41</v>
      </c>
      <c r="G95" s="8">
        <f t="shared" si="24"/>
        <v>47.000000000000014</v>
      </c>
      <c r="H95" s="8">
        <f t="shared" si="24"/>
        <v>52.999999999999993</v>
      </c>
      <c r="I95" s="8">
        <f t="shared" si="24"/>
        <v>6.200000000000002</v>
      </c>
      <c r="J95" s="8">
        <f t="shared" si="24"/>
        <v>6.200000000000002</v>
      </c>
      <c r="K95" s="8">
        <f t="shared" si="24"/>
        <v>6.200000000000002</v>
      </c>
      <c r="L95" s="8">
        <f t="shared" si="24"/>
        <v>6.200000000000002</v>
      </c>
      <c r="M95" s="8">
        <f t="shared" si="24"/>
        <v>0</v>
      </c>
      <c r="N95" s="8">
        <f t="shared" si="24"/>
        <v>0</v>
      </c>
      <c r="O95" s="8">
        <f t="shared" si="24"/>
        <v>0</v>
      </c>
      <c r="P95" s="8">
        <f t="shared" si="24"/>
        <v>0</v>
      </c>
      <c r="Q95" s="8">
        <f t="shared" si="24"/>
        <v>0</v>
      </c>
    </row>
    <row r="96" spans="1:17">
      <c r="B96" t="s">
        <v>11</v>
      </c>
      <c r="C96" s="8">
        <f>C93-C94-C95</f>
        <v>-1.5</v>
      </c>
      <c r="D96" s="8">
        <f t="shared" ref="D96:Q96" si="25">D93-D94-D95</f>
        <v>-1.5</v>
      </c>
      <c r="E96" s="8">
        <f t="shared" si="25"/>
        <v>52.5</v>
      </c>
      <c r="F96" s="8">
        <f t="shared" si="25"/>
        <v>61.5</v>
      </c>
      <c r="G96" s="8">
        <f t="shared" si="25"/>
        <v>70.500000000000014</v>
      </c>
      <c r="H96" s="8">
        <f t="shared" si="25"/>
        <v>79.499999999999972</v>
      </c>
      <c r="I96" s="8">
        <f t="shared" si="25"/>
        <v>9.3000000000000007</v>
      </c>
      <c r="J96" s="8">
        <f t="shared" si="25"/>
        <v>9.3000000000000007</v>
      </c>
      <c r="K96" s="8">
        <f t="shared" si="25"/>
        <v>9.3000000000000007</v>
      </c>
      <c r="L96" s="8">
        <f t="shared" si="25"/>
        <v>9.3000000000000007</v>
      </c>
      <c r="M96" s="8">
        <f t="shared" si="25"/>
        <v>0</v>
      </c>
      <c r="N96" s="8">
        <f t="shared" si="25"/>
        <v>0</v>
      </c>
      <c r="O96" s="8">
        <f t="shared" si="25"/>
        <v>0</v>
      </c>
      <c r="P96" s="8">
        <f t="shared" si="25"/>
        <v>0</v>
      </c>
      <c r="Q96" s="8">
        <f t="shared" si="25"/>
        <v>0</v>
      </c>
    </row>
    <row r="97" spans="1:17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>
      <c r="A98" s="1" t="s">
        <v>7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>
      <c r="B99" t="s">
        <v>11</v>
      </c>
      <c r="C99" s="8">
        <f>C96</f>
        <v>-1.5</v>
      </c>
      <c r="D99" s="8">
        <f t="shared" ref="D99:J99" si="26">D96</f>
        <v>-1.5</v>
      </c>
      <c r="E99" s="8">
        <f t="shared" si="26"/>
        <v>52.5</v>
      </c>
      <c r="F99" s="8">
        <f t="shared" si="26"/>
        <v>61.5</v>
      </c>
      <c r="G99" s="8">
        <f t="shared" si="26"/>
        <v>70.500000000000014</v>
      </c>
      <c r="H99" s="8">
        <f t="shared" si="26"/>
        <v>79.499999999999972</v>
      </c>
      <c r="I99" s="8">
        <f t="shared" si="26"/>
        <v>9.3000000000000007</v>
      </c>
      <c r="J99" s="8">
        <f t="shared" si="26"/>
        <v>9.3000000000000007</v>
      </c>
      <c r="K99" s="8">
        <f t="shared" ref="K99:Q99" si="27">K96</f>
        <v>9.3000000000000007</v>
      </c>
      <c r="L99" s="8">
        <f t="shared" si="27"/>
        <v>9.3000000000000007</v>
      </c>
      <c r="M99" s="8">
        <f t="shared" si="27"/>
        <v>0</v>
      </c>
      <c r="N99" s="8">
        <f t="shared" si="27"/>
        <v>0</v>
      </c>
      <c r="O99" s="8">
        <f t="shared" si="27"/>
        <v>0</v>
      </c>
      <c r="P99" s="8">
        <f t="shared" si="27"/>
        <v>0</v>
      </c>
      <c r="Q99" s="8">
        <f t="shared" si="27"/>
        <v>0</v>
      </c>
    </row>
    <row r="100" spans="1:17">
      <c r="B100" t="s">
        <v>12</v>
      </c>
      <c r="C100" s="8">
        <f>C88</f>
        <v>2.5</v>
      </c>
      <c r="D100" s="8">
        <f t="shared" ref="D100:J100" si="28">D88</f>
        <v>2.5</v>
      </c>
      <c r="E100" s="8">
        <f t="shared" si="28"/>
        <v>2.5</v>
      </c>
      <c r="F100" s="8">
        <f t="shared" si="28"/>
        <v>2.5</v>
      </c>
      <c r="G100" s="8">
        <f t="shared" si="28"/>
        <v>2.5</v>
      </c>
      <c r="H100" s="8">
        <f t="shared" si="28"/>
        <v>2.5</v>
      </c>
      <c r="I100" s="8">
        <f t="shared" si="28"/>
        <v>2.5</v>
      </c>
      <c r="J100" s="8">
        <f t="shared" si="28"/>
        <v>2.5</v>
      </c>
      <c r="K100" s="8">
        <f t="shared" ref="K100:Q100" si="29">K88</f>
        <v>2.5</v>
      </c>
      <c r="L100" s="8">
        <f t="shared" si="29"/>
        <v>2.5</v>
      </c>
      <c r="M100" s="8">
        <f t="shared" si="29"/>
        <v>0</v>
      </c>
      <c r="N100" s="8">
        <f t="shared" si="29"/>
        <v>0</v>
      </c>
      <c r="O100" s="8">
        <f t="shared" si="29"/>
        <v>0</v>
      </c>
      <c r="P100" s="8">
        <f t="shared" si="29"/>
        <v>0</v>
      </c>
      <c r="Q100" s="8">
        <f t="shared" si="29"/>
        <v>0</v>
      </c>
    </row>
    <row r="101" spans="1:17">
      <c r="B101" t="s">
        <v>13</v>
      </c>
      <c r="C101" s="8">
        <f>C87</f>
        <v>25</v>
      </c>
      <c r="D101" s="8">
        <f t="shared" ref="D101:J101" si="30">D87</f>
        <v>0</v>
      </c>
      <c r="E101" s="8">
        <f t="shared" si="30"/>
        <v>0</v>
      </c>
      <c r="F101" s="8">
        <f t="shared" si="30"/>
        <v>0</v>
      </c>
      <c r="G101" s="8">
        <f t="shared" si="30"/>
        <v>0</v>
      </c>
      <c r="H101" s="8">
        <f t="shared" si="30"/>
        <v>0</v>
      </c>
      <c r="I101" s="8">
        <f t="shared" si="30"/>
        <v>0</v>
      </c>
      <c r="J101" s="8">
        <f t="shared" si="30"/>
        <v>0</v>
      </c>
      <c r="K101" s="8">
        <f t="shared" ref="K101:Q101" si="31">K87</f>
        <v>0</v>
      </c>
      <c r="L101" s="8">
        <f t="shared" si="31"/>
        <v>0</v>
      </c>
      <c r="M101" s="8">
        <f t="shared" si="31"/>
        <v>0</v>
      </c>
      <c r="N101" s="8">
        <f t="shared" si="31"/>
        <v>0</v>
      </c>
      <c r="O101" s="8">
        <f t="shared" si="31"/>
        <v>0</v>
      </c>
      <c r="P101" s="8">
        <f t="shared" si="31"/>
        <v>0</v>
      </c>
      <c r="Q101" s="8">
        <f t="shared" si="31"/>
        <v>0</v>
      </c>
    </row>
    <row r="102" spans="1:17">
      <c r="B102" t="s">
        <v>18</v>
      </c>
      <c r="C102" s="8">
        <f>C99+C100-C101</f>
        <v>-24</v>
      </c>
      <c r="D102" s="8">
        <f t="shared" ref="D102:J102" si="32">D99+D100-D101</f>
        <v>1</v>
      </c>
      <c r="E102" s="8">
        <f t="shared" si="32"/>
        <v>55</v>
      </c>
      <c r="F102" s="8">
        <f t="shared" si="32"/>
        <v>64</v>
      </c>
      <c r="G102" s="8">
        <f t="shared" si="32"/>
        <v>73.000000000000014</v>
      </c>
      <c r="H102" s="8">
        <f t="shared" si="32"/>
        <v>81.999999999999972</v>
      </c>
      <c r="I102" s="8">
        <f t="shared" si="32"/>
        <v>11.8</v>
      </c>
      <c r="J102" s="8">
        <f t="shared" si="32"/>
        <v>11.8</v>
      </c>
      <c r="K102" s="8">
        <f t="shared" ref="K102:Q102" si="33">K99+K100-K101</f>
        <v>11.8</v>
      </c>
      <c r="L102" s="8">
        <f t="shared" si="33"/>
        <v>11.8</v>
      </c>
      <c r="M102" s="8">
        <f t="shared" si="33"/>
        <v>0</v>
      </c>
      <c r="N102" s="8">
        <f t="shared" si="33"/>
        <v>0</v>
      </c>
      <c r="O102" s="8">
        <f t="shared" si="33"/>
        <v>0</v>
      </c>
      <c r="P102" s="8">
        <f t="shared" si="33"/>
        <v>0</v>
      </c>
      <c r="Q102" s="8">
        <f t="shared" si="33"/>
        <v>0</v>
      </c>
    </row>
    <row r="104" spans="1:17">
      <c r="A104" s="1" t="s">
        <v>44</v>
      </c>
      <c r="B104" s="9">
        <f>C102+NPV(C20,D102:Q102)</f>
        <v>194.44851150686523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sqref="A1:D4"/>
    </sheetView>
  </sheetViews>
  <sheetFormatPr defaultRowHeight="15.75"/>
  <sheetData>
    <row r="1" spans="1:4">
      <c r="C1" s="32" t="s">
        <v>76</v>
      </c>
      <c r="D1" s="32"/>
    </row>
    <row r="2" spans="1:4" ht="27.75" customHeight="1">
      <c r="C2" s="25" t="s">
        <v>74</v>
      </c>
      <c r="D2" s="25" t="s">
        <v>75</v>
      </c>
    </row>
    <row r="3" spans="1:4" ht="27.75" customHeight="1">
      <c r="A3" s="30" t="s">
        <v>79</v>
      </c>
      <c r="B3" s="26" t="s">
        <v>77</v>
      </c>
      <c r="C3" s="27">
        <v>194</v>
      </c>
      <c r="D3" s="27">
        <v>212</v>
      </c>
    </row>
    <row r="4" spans="1:4" ht="27.75" customHeight="1">
      <c r="A4" s="31"/>
      <c r="B4" s="26" t="s">
        <v>78</v>
      </c>
      <c r="C4" s="27">
        <v>160</v>
      </c>
      <c r="D4" s="27">
        <v>287</v>
      </c>
    </row>
  </sheetData>
  <mergeCells count="2">
    <mergeCell ref="A3:A4"/>
    <mergeCell ref="C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D28" sqref="D28"/>
    </sheetView>
  </sheetViews>
  <sheetFormatPr defaultRowHeight="15.75"/>
  <cols>
    <col min="1" max="1" width="9.625" customWidth="1"/>
    <col min="2" max="5" width="14.375" customWidth="1"/>
  </cols>
  <sheetData>
    <row r="1" spans="1:5">
      <c r="A1" s="1" t="s">
        <v>80</v>
      </c>
    </row>
    <row r="3" spans="1:5">
      <c r="A3" s="23" t="s">
        <v>83</v>
      </c>
      <c r="B3" s="28" t="s">
        <v>59</v>
      </c>
      <c r="C3" s="28"/>
      <c r="D3" s="28"/>
      <c r="E3" s="28"/>
    </row>
    <row r="4" spans="1:5">
      <c r="B4" s="29" t="s">
        <v>81</v>
      </c>
      <c r="C4" s="29" t="s">
        <v>82</v>
      </c>
      <c r="D4" s="29" t="s">
        <v>84</v>
      </c>
      <c r="E4" s="29" t="s">
        <v>85</v>
      </c>
    </row>
    <row r="5" spans="1:5">
      <c r="A5" s="4">
        <v>0.05</v>
      </c>
      <c r="B5" s="7">
        <v>75.136136290141266</v>
      </c>
      <c r="C5" s="7">
        <v>54.382842796066043</v>
      </c>
      <c r="D5" s="7">
        <v>89.415753229616413</v>
      </c>
      <c r="E5" s="7">
        <v>55.009490949220506</v>
      </c>
    </row>
    <row r="6" spans="1:5">
      <c r="A6" s="4">
        <v>6.0000000000000005E-2</v>
      </c>
      <c r="B6" s="7">
        <v>98.998611333486039</v>
      </c>
      <c r="C6" s="7">
        <v>74.094659140595809</v>
      </c>
      <c r="D6" s="7">
        <v>113.86565530168066</v>
      </c>
      <c r="E6" s="7">
        <v>92.520362594252262</v>
      </c>
    </row>
    <row r="7" spans="1:5">
      <c r="A7" s="4">
        <v>7.0000000000000007E-2</v>
      </c>
      <c r="B7" s="7">
        <v>122.86108637683088</v>
      </c>
      <c r="C7" s="7">
        <v>93.806475485125574</v>
      </c>
      <c r="D7" s="7">
        <v>138.31555737374492</v>
      </c>
      <c r="E7" s="7">
        <v>140.83425390386236</v>
      </c>
    </row>
    <row r="8" spans="1:5">
      <c r="A8" s="4">
        <v>0.08</v>
      </c>
      <c r="B8" s="7">
        <v>146.72356142017566</v>
      </c>
      <c r="C8" s="7">
        <v>113.51829182965531</v>
      </c>
      <c r="D8" s="7">
        <v>162.76545944580914</v>
      </c>
      <c r="E8" s="7">
        <v>199.04279523116867</v>
      </c>
    </row>
    <row r="9" spans="1:5">
      <c r="A9" s="4">
        <v>0.09</v>
      </c>
      <c r="B9" s="7">
        <v>170.58603646352046</v>
      </c>
      <c r="C9" s="7">
        <v>135.64425027823904</v>
      </c>
      <c r="D9" s="7">
        <v>187.21536151787336</v>
      </c>
      <c r="E9" s="7">
        <v>247.75359211727294</v>
      </c>
    </row>
    <row r="10" spans="1:5">
      <c r="A10" s="4">
        <v>9.9999999999999992E-2</v>
      </c>
      <c r="B10" s="7">
        <v>194.44851150686517</v>
      </c>
      <c r="C10" s="7">
        <v>159.64787480775362</v>
      </c>
      <c r="D10" s="7">
        <v>211.66526358993758</v>
      </c>
      <c r="E10" s="7">
        <v>287.44145937239097</v>
      </c>
    </row>
    <row r="11" spans="1:5">
      <c r="A11" s="4">
        <v>0.10999999999999999</v>
      </c>
      <c r="B11" s="7">
        <v>218.31098655020998</v>
      </c>
      <c r="C11" s="7">
        <v>184.45621337195291</v>
      </c>
      <c r="D11" s="7">
        <v>236.1151656620018</v>
      </c>
      <c r="E11" s="7">
        <v>328.83162565079971</v>
      </c>
    </row>
    <row r="12" spans="1:5">
      <c r="A12" s="4">
        <v>0.11999999999999998</v>
      </c>
      <c r="B12" s="7">
        <v>242.1734615935548</v>
      </c>
      <c r="C12" s="7">
        <v>212.72482228529628</v>
      </c>
      <c r="D12" s="7">
        <v>260.56506773406596</v>
      </c>
      <c r="E12" s="7">
        <v>371.92409095249917</v>
      </c>
    </row>
    <row r="13" spans="1:5">
      <c r="A13" s="4">
        <v>0.12999999999999998</v>
      </c>
      <c r="B13" s="7">
        <v>266.03593663689969</v>
      </c>
      <c r="C13" s="7">
        <v>242.60034453665054</v>
      </c>
      <c r="D13" s="7">
        <v>285.01496980613024</v>
      </c>
      <c r="E13" s="7">
        <v>413.55046910168181</v>
      </c>
    </row>
    <row r="14" spans="1:5">
      <c r="A14" s="4">
        <v>0.13999999999999999</v>
      </c>
      <c r="B14" s="7">
        <v>289.89841168024446</v>
      </c>
      <c r="C14" s="7">
        <v>273.77849763165074</v>
      </c>
      <c r="D14" s="7">
        <v>309.46487187819451</v>
      </c>
      <c r="E14" s="7">
        <v>451.16464289323875</v>
      </c>
    </row>
    <row r="15" spans="1:5">
      <c r="A15" s="4">
        <v>0.15</v>
      </c>
      <c r="B15" s="7">
        <v>313.76088672358924</v>
      </c>
      <c r="C15" s="7">
        <v>306.25928157029659</v>
      </c>
      <c r="D15" s="7">
        <v>333.91477395025885</v>
      </c>
      <c r="E15" s="7">
        <v>495.98195101383584</v>
      </c>
    </row>
    <row r="16" spans="1:5">
      <c r="A16" s="4">
        <v>0.16</v>
      </c>
      <c r="B16" s="7">
        <v>337.62336176693401</v>
      </c>
      <c r="C16" s="7">
        <v>340.04269635258828</v>
      </c>
      <c r="D16" s="7">
        <v>358.36467602232312</v>
      </c>
      <c r="E16" s="7">
        <v>542.20586489756511</v>
      </c>
    </row>
    <row r="17" spans="1:5">
      <c r="A17" s="4">
        <v>0.17</v>
      </c>
      <c r="B17" s="7">
        <v>361.48583681027884</v>
      </c>
      <c r="C17" s="7">
        <v>373.53842586748021</v>
      </c>
      <c r="D17" s="7">
        <v>382.81457809438717</v>
      </c>
      <c r="E17" s="7">
        <v>589.8009704488893</v>
      </c>
    </row>
    <row r="18" spans="1:5">
      <c r="A18" s="4">
        <v>0.18000000000000002</v>
      </c>
      <c r="B18" s="7">
        <v>385.34831185362373</v>
      </c>
      <c r="C18" s="7">
        <v>404.78196197779846</v>
      </c>
      <c r="D18" s="7">
        <v>407.26448016645151</v>
      </c>
      <c r="E18" s="7">
        <v>638.76726766780837</v>
      </c>
    </row>
    <row r="19" spans="1:5">
      <c r="A19" s="4">
        <v>0.19000000000000003</v>
      </c>
      <c r="B19" s="7">
        <v>409.21078689696844</v>
      </c>
      <c r="C19" s="7">
        <v>436.76684089257003</v>
      </c>
      <c r="D19" s="7">
        <v>431.71438223851578</v>
      </c>
      <c r="E19" s="7">
        <v>689.10475655432231</v>
      </c>
    </row>
    <row r="20" spans="1:5">
      <c r="A20" s="4">
        <v>0.2</v>
      </c>
      <c r="B20" s="7">
        <v>433.07326194031322</v>
      </c>
      <c r="C20" s="7">
        <v>469.49306261179453</v>
      </c>
      <c r="D20" s="7">
        <v>456.16428431057994</v>
      </c>
      <c r="E20" s="7">
        <v>740.81343710843123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 7.17  - M3</vt:lpstr>
      <vt:lpstr>Fig. 7.18</vt:lpstr>
      <vt:lpstr>DataSensitivity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dcterms:created xsi:type="dcterms:W3CDTF">2006-08-29T18:16:40Z</dcterms:created>
  <dcterms:modified xsi:type="dcterms:W3CDTF">2008-09-14T14:14:09Z</dcterms:modified>
</cp:coreProperties>
</file>